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limi.KASHANU.000\Desktop\"/>
    </mc:Choice>
  </mc:AlternateContent>
  <bookViews>
    <workbookView xWindow="0" yWindow="0" windowWidth="16785" windowHeight="7590" tabRatio="662"/>
  </bookViews>
  <sheets>
    <sheet name="analiz" sheetId="3" r:id="rId1"/>
    <sheet name="tasisat1401end" sheetId="5" r:id="rId2"/>
    <sheet name="آنالیز ابتدای سال 1400" sheetId="2" state="hidden" r:id="rId3"/>
    <sheet name="مزدگروه های 20گانه" sheetId="4" r:id="rId4"/>
  </sheets>
  <calcPr calcId="162913"/>
</workbook>
</file>

<file path=xl/calcChain.xml><?xml version="1.0" encoding="utf-8"?>
<calcChain xmlns="http://schemas.openxmlformats.org/spreadsheetml/2006/main">
  <c r="C11" i="3" l="1"/>
  <c r="C9" i="3"/>
  <c r="C12" i="3" l="1"/>
  <c r="C10" i="3" l="1"/>
  <c r="AN24" i="5"/>
  <c r="C7" i="3" s="1"/>
  <c r="AM24" i="5"/>
  <c r="C6" i="3" s="1"/>
  <c r="AL24" i="5"/>
  <c r="C5" i="3" s="1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J24" i="5"/>
  <c r="C3" i="3" s="1"/>
  <c r="AG3" i="5"/>
  <c r="AH3" i="5" s="1"/>
  <c r="AG4" i="5"/>
  <c r="AH4" i="5" s="1"/>
  <c r="AG5" i="5"/>
  <c r="AH5" i="5" s="1"/>
  <c r="AG6" i="5"/>
  <c r="AH6" i="5" s="1"/>
  <c r="AG7" i="5"/>
  <c r="AH7" i="5" s="1"/>
  <c r="AG8" i="5"/>
  <c r="AH8" i="5" s="1"/>
  <c r="AG9" i="5"/>
  <c r="AH9" i="5" s="1"/>
  <c r="AG10" i="5"/>
  <c r="AH10" i="5" s="1"/>
  <c r="AG11" i="5"/>
  <c r="AH11" i="5" s="1"/>
  <c r="AG12" i="5"/>
  <c r="AH12" i="5" s="1"/>
  <c r="AG13" i="5"/>
  <c r="AH13" i="5" s="1"/>
  <c r="AG14" i="5"/>
  <c r="AH14" i="5" s="1"/>
  <c r="AG15" i="5"/>
  <c r="AH15" i="5" s="1"/>
  <c r="AG16" i="5"/>
  <c r="AH16" i="5" s="1"/>
  <c r="AG17" i="5"/>
  <c r="AH17" i="5" s="1"/>
  <c r="AG18" i="5"/>
  <c r="AH18" i="5" s="1"/>
  <c r="AG19" i="5"/>
  <c r="AH19" i="5" s="1"/>
  <c r="AG20" i="5"/>
  <c r="AH20" i="5" s="1"/>
  <c r="AG21" i="5"/>
  <c r="AH21" i="5" s="1"/>
  <c r="AG22" i="5"/>
  <c r="AH22" i="5" s="1"/>
  <c r="AG23" i="5"/>
  <c r="AH23" i="5" s="1"/>
  <c r="AG2" i="5"/>
  <c r="AH2" i="5" s="1"/>
  <c r="AO3" i="5" l="1"/>
  <c r="AR3" i="5"/>
  <c r="AO2" i="5"/>
  <c r="AP3" i="5"/>
  <c r="AP2" i="5"/>
  <c r="AR5" i="5"/>
  <c r="AR4" i="5"/>
  <c r="AR2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R22" i="5"/>
  <c r="AR20" i="5"/>
  <c r="AR18" i="5"/>
  <c r="AR16" i="5"/>
  <c r="AR14" i="5"/>
  <c r="AR12" i="5"/>
  <c r="AR10" i="5"/>
  <c r="AR8" i="5"/>
  <c r="AR6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AO5" i="5"/>
  <c r="AO4" i="5"/>
  <c r="AR23" i="5"/>
  <c r="AR21" i="5"/>
  <c r="AR19" i="5"/>
  <c r="AR17" i="5"/>
  <c r="AR15" i="5"/>
  <c r="AR13" i="5"/>
  <c r="AR11" i="5"/>
  <c r="AR9" i="5"/>
  <c r="AR7" i="5"/>
  <c r="AH24" i="5"/>
  <c r="C2" i="3" s="1"/>
  <c r="AK3" i="5"/>
  <c r="AK2" i="5"/>
  <c r="AQ4" i="5" l="1"/>
  <c r="AQ5" i="5"/>
  <c r="AQ7" i="5"/>
  <c r="AQ9" i="5"/>
  <c r="AQ11" i="5"/>
  <c r="AQ13" i="5"/>
  <c r="AQ15" i="5"/>
  <c r="AQ17" i="5"/>
  <c r="AQ19" i="5"/>
  <c r="AQ21" i="5"/>
  <c r="AQ23" i="5"/>
  <c r="AQ2" i="5"/>
  <c r="AP24" i="5"/>
  <c r="C8" i="3" s="1"/>
  <c r="AQ6" i="5"/>
  <c r="AQ8" i="5"/>
  <c r="AQ10" i="5"/>
  <c r="AQ12" i="5"/>
  <c r="AQ14" i="5"/>
  <c r="AQ16" i="5"/>
  <c r="AQ18" i="5"/>
  <c r="AQ20" i="5"/>
  <c r="AQ22" i="5"/>
  <c r="AQ3" i="5"/>
  <c r="AK24" i="5"/>
  <c r="C4" i="3" s="1"/>
  <c r="G21" i="4" l="1"/>
  <c r="F21" i="4"/>
  <c r="I21" i="4" s="1"/>
  <c r="G20" i="4"/>
  <c r="F20" i="4"/>
  <c r="G19" i="4"/>
  <c r="F19" i="4"/>
  <c r="I19" i="4" s="1"/>
  <c r="G18" i="4"/>
  <c r="F18" i="4"/>
  <c r="G17" i="4"/>
  <c r="F17" i="4"/>
  <c r="I17" i="4" s="1"/>
  <c r="G16" i="4"/>
  <c r="F16" i="4"/>
  <c r="G15" i="4"/>
  <c r="F15" i="4"/>
  <c r="I15" i="4" s="1"/>
  <c r="G14" i="4"/>
  <c r="F14" i="4"/>
  <c r="G13" i="4"/>
  <c r="F13" i="4"/>
  <c r="I13" i="4" s="1"/>
  <c r="G12" i="4"/>
  <c r="F12" i="4"/>
  <c r="G11" i="4"/>
  <c r="F11" i="4"/>
  <c r="I11" i="4" s="1"/>
  <c r="G10" i="4"/>
  <c r="F10" i="4"/>
  <c r="G9" i="4"/>
  <c r="F9" i="4"/>
  <c r="I9" i="4" s="1"/>
  <c r="G8" i="4"/>
  <c r="F8" i="4"/>
  <c r="G7" i="4"/>
  <c r="I7" i="4" s="1"/>
  <c r="F7" i="4"/>
  <c r="G6" i="4"/>
  <c r="I6" i="4" s="1"/>
  <c r="F6" i="4"/>
  <c r="G5" i="4"/>
  <c r="F5" i="4"/>
  <c r="G4" i="4"/>
  <c r="I4" i="4" s="1"/>
  <c r="F4" i="4"/>
  <c r="G3" i="4"/>
  <c r="F3" i="4"/>
  <c r="G2" i="4"/>
  <c r="I2" i="4" s="1"/>
  <c r="F2" i="4"/>
  <c r="I3" i="4" l="1"/>
  <c r="I5" i="4"/>
  <c r="I8" i="4"/>
  <c r="I10" i="4"/>
  <c r="I12" i="4"/>
  <c r="I14" i="4"/>
  <c r="I16" i="4"/>
  <c r="I18" i="4"/>
  <c r="I20" i="4"/>
  <c r="C14" i="3"/>
  <c r="C34" i="3" l="1"/>
  <c r="AH45" i="2"/>
  <c r="AG69" i="2" l="1"/>
  <c r="AG68" i="2"/>
  <c r="AH65" i="2"/>
  <c r="AH64" i="2"/>
  <c r="AH63" i="2"/>
  <c r="AH62" i="2"/>
  <c r="AE60" i="2"/>
  <c r="AG60" i="2" s="1"/>
  <c r="AH60" i="2" s="1"/>
  <c r="AG48" i="2"/>
  <c r="AH48" i="2" s="1"/>
  <c r="AG47" i="2"/>
  <c r="AH47" i="2" s="1"/>
  <c r="AG43" i="2"/>
  <c r="AH43" i="2" s="1"/>
  <c r="R43" i="2"/>
  <c r="AE22" i="2"/>
  <c r="AG22" i="2" s="1"/>
  <c r="AH22" i="2" s="1"/>
  <c r="R22" i="2"/>
  <c r="AG21" i="2"/>
  <c r="AH21" i="2" s="1"/>
  <c r="AG20" i="2"/>
  <c r="AH20" i="2" s="1"/>
  <c r="L19" i="2"/>
  <c r="J19" i="2"/>
  <c r="O19" i="2" s="1"/>
  <c r="T19" i="2" s="1"/>
  <c r="X19" i="2" s="1"/>
  <c r="AB19" i="2" s="1"/>
  <c r="G19" i="2"/>
  <c r="I19" i="2" s="1"/>
  <c r="L18" i="2"/>
  <c r="N18" i="2" s="1"/>
  <c r="E18" i="2"/>
  <c r="G18" i="2" s="1"/>
  <c r="L17" i="2"/>
  <c r="N17" i="2" s="1"/>
  <c r="G17" i="2"/>
  <c r="E17" i="2"/>
  <c r="L16" i="2"/>
  <c r="N16" i="2" s="1"/>
  <c r="J16" i="2"/>
  <c r="O16" i="2" s="1"/>
  <c r="T16" i="2" s="1"/>
  <c r="X16" i="2" s="1"/>
  <c r="AB16" i="2" s="1"/>
  <c r="L15" i="2"/>
  <c r="N15" i="2" s="1"/>
  <c r="G15" i="2"/>
  <c r="I15" i="2" s="1"/>
  <c r="AB14" i="2"/>
  <c r="AA14" i="2"/>
  <c r="Z14" i="2"/>
  <c r="L13" i="2"/>
  <c r="N13" i="2" s="1"/>
  <c r="G13" i="2"/>
  <c r="I13" i="2" s="1"/>
  <c r="L12" i="2"/>
  <c r="I12" i="2"/>
  <c r="G12" i="2"/>
  <c r="J12" i="2" s="1"/>
  <c r="O12" i="2" s="1"/>
  <c r="T12" i="2" s="1"/>
  <c r="X12" i="2" s="1"/>
  <c r="AB12" i="2" s="1"/>
  <c r="L11" i="2"/>
  <c r="N11" i="2" s="1"/>
  <c r="E11" i="2"/>
  <c r="G11" i="2" s="1"/>
  <c r="I11" i="2" s="1"/>
  <c r="L10" i="2"/>
  <c r="N10" i="2" s="1"/>
  <c r="E10" i="2"/>
  <c r="G10" i="2" s="1"/>
  <c r="O9" i="2"/>
  <c r="T9" i="2" s="1"/>
  <c r="X9" i="2" s="1"/>
  <c r="AB9" i="2" s="1"/>
  <c r="L9" i="2"/>
  <c r="N9" i="2" s="1"/>
  <c r="L8" i="2"/>
  <c r="N8" i="2" s="1"/>
  <c r="J8" i="2"/>
  <c r="L7" i="2"/>
  <c r="J7" i="2"/>
  <c r="O7" i="2" s="1"/>
  <c r="T7" i="2" s="1"/>
  <c r="X7" i="2" s="1"/>
  <c r="AB7" i="2" s="1"/>
  <c r="G7" i="2"/>
  <c r="I7" i="2" s="1"/>
  <c r="L6" i="2"/>
  <c r="N6" i="2" s="1"/>
  <c r="E6" i="2"/>
  <c r="G6" i="2" s="1"/>
  <c r="L5" i="2"/>
  <c r="N5" i="2" s="1"/>
  <c r="G5" i="2"/>
  <c r="E5" i="2"/>
  <c r="L4" i="2"/>
  <c r="N4" i="2" s="1"/>
  <c r="E4" i="2"/>
  <c r="G4" i="2" s="1"/>
  <c r="I4" i="2" s="1"/>
  <c r="X3" i="2"/>
  <c r="AB3" i="2" s="1"/>
  <c r="W3" i="2"/>
  <c r="AA3" i="2" s="1"/>
  <c r="V3" i="2"/>
  <c r="M8" i="2" l="1"/>
  <c r="AD14" i="2"/>
  <c r="I6" i="2"/>
  <c r="J6" i="2"/>
  <c r="O6" i="2" s="1"/>
  <c r="T6" i="2" s="1"/>
  <c r="X6" i="2" s="1"/>
  <c r="AB6" i="2" s="1"/>
  <c r="I18" i="2"/>
  <c r="J18" i="2"/>
  <c r="O18" i="2" s="1"/>
  <c r="T18" i="2" s="1"/>
  <c r="X18" i="2" s="1"/>
  <c r="AB18" i="2" s="1"/>
  <c r="I10" i="2"/>
  <c r="J10" i="2"/>
  <c r="O10" i="2" s="1"/>
  <c r="T10" i="2" s="1"/>
  <c r="X10" i="2" s="1"/>
  <c r="AB10" i="2" s="1"/>
  <c r="O8" i="2"/>
  <c r="T8" i="2" s="1"/>
  <c r="X8" i="2" s="1"/>
  <c r="AB8" i="2" s="1"/>
  <c r="AH66" i="2"/>
  <c r="AD3" i="2"/>
  <c r="AE3" i="2" s="1"/>
  <c r="AG3" i="2" s="1"/>
  <c r="AH3" i="2" s="1"/>
  <c r="J4" i="2"/>
  <c r="O4" i="2" s="1"/>
  <c r="T4" i="2" s="1"/>
  <c r="X4" i="2" s="1"/>
  <c r="AB4" i="2" s="1"/>
  <c r="M9" i="2"/>
  <c r="J13" i="2"/>
  <c r="O13" i="2" s="1"/>
  <c r="T13" i="2" s="1"/>
  <c r="X13" i="2" s="1"/>
  <c r="AB13" i="2" s="1"/>
  <c r="M19" i="2"/>
  <c r="M4" i="2"/>
  <c r="I5" i="2"/>
  <c r="J5" i="2"/>
  <c r="M7" i="2"/>
  <c r="N7" i="2"/>
  <c r="S8" i="2"/>
  <c r="Z3" i="2"/>
  <c r="S5" i="2"/>
  <c r="S9" i="2"/>
  <c r="Q9" i="2"/>
  <c r="AE37" i="2"/>
  <c r="AG37" i="2" s="1"/>
  <c r="AH37" i="2" s="1"/>
  <c r="AE14" i="2"/>
  <c r="AG14" i="2" s="1"/>
  <c r="AH14" i="2" s="1"/>
  <c r="S11" i="2"/>
  <c r="M12" i="2"/>
  <c r="M13" i="2"/>
  <c r="S15" i="2"/>
  <c r="S17" i="2"/>
  <c r="S4" i="2"/>
  <c r="Q4" i="2"/>
  <c r="S6" i="2"/>
  <c r="Q6" i="2"/>
  <c r="S10" i="2"/>
  <c r="Q10" i="2"/>
  <c r="J11" i="2"/>
  <c r="N12" i="2"/>
  <c r="S13" i="2"/>
  <c r="Q13" i="2"/>
  <c r="J15" i="2"/>
  <c r="M16" i="2"/>
  <c r="I17" i="2"/>
  <c r="J17" i="2"/>
  <c r="S16" i="2"/>
  <c r="Q16" i="2"/>
  <c r="S18" i="2"/>
  <c r="N19" i="2"/>
  <c r="Q18" i="2" l="1"/>
  <c r="R18" i="2" s="1"/>
  <c r="M18" i="2"/>
  <c r="M10" i="2"/>
  <c r="Q8" i="2"/>
  <c r="R8" i="2" s="1"/>
  <c r="M6" i="2"/>
  <c r="AE26" i="2"/>
  <c r="AG26" i="2" s="1"/>
  <c r="AH26" i="2" s="1"/>
  <c r="R41" i="2"/>
  <c r="R39" i="2"/>
  <c r="R16" i="2"/>
  <c r="M15" i="2"/>
  <c r="O15" i="2"/>
  <c r="V13" i="2"/>
  <c r="W13" i="2"/>
  <c r="M11" i="2"/>
  <c r="O11" i="2"/>
  <c r="V10" i="2"/>
  <c r="W10" i="2"/>
  <c r="V6" i="2"/>
  <c r="W6" i="2"/>
  <c r="V4" i="2"/>
  <c r="W4" i="2"/>
  <c r="W17" i="2"/>
  <c r="W15" i="2"/>
  <c r="W11" i="2"/>
  <c r="R32" i="2"/>
  <c r="R9" i="2"/>
  <c r="R31" i="2"/>
  <c r="S7" i="2"/>
  <c r="Q7" i="2"/>
  <c r="S19" i="2"/>
  <c r="Q19" i="2"/>
  <c r="V18" i="2"/>
  <c r="W18" i="2"/>
  <c r="V16" i="2"/>
  <c r="W16" i="2"/>
  <c r="M17" i="2"/>
  <c r="O17" i="2"/>
  <c r="R36" i="2"/>
  <c r="R13" i="2"/>
  <c r="S12" i="2"/>
  <c r="Q12" i="2"/>
  <c r="R33" i="2"/>
  <c r="R10" i="2"/>
  <c r="R29" i="2"/>
  <c r="R25" i="2"/>
  <c r="R24" i="2"/>
  <c r="R6" i="2"/>
  <c r="R23" i="2" s="1"/>
  <c r="R27" i="2"/>
  <c r="R4" i="2"/>
  <c r="V9" i="2"/>
  <c r="W9" i="2"/>
  <c r="W5" i="2"/>
  <c r="V8" i="2"/>
  <c r="W8" i="2"/>
  <c r="M5" i="2"/>
  <c r="O5" i="2"/>
  <c r="C40" i="3" l="1"/>
  <c r="W12" i="2"/>
  <c r="V12" i="2"/>
  <c r="W19" i="2"/>
  <c r="V19" i="2"/>
  <c r="W7" i="2"/>
  <c r="V7" i="2"/>
  <c r="AA11" i="2"/>
  <c r="AA17" i="2"/>
  <c r="AA4" i="2"/>
  <c r="AD4" i="2" s="1"/>
  <c r="Z4" i="2"/>
  <c r="AA6" i="2"/>
  <c r="AD6" i="2" s="1"/>
  <c r="AE24" i="2" s="1"/>
  <c r="Z6" i="2"/>
  <c r="AA10" i="2"/>
  <c r="AD10" i="2" s="1"/>
  <c r="Z10" i="2"/>
  <c r="T11" i="2"/>
  <c r="Q11" i="2"/>
  <c r="AA13" i="2"/>
  <c r="AD13" i="2" s="1"/>
  <c r="Z13" i="2"/>
  <c r="T15" i="2"/>
  <c r="Q15" i="2"/>
  <c r="T5" i="2"/>
  <c r="Q5" i="2"/>
  <c r="AA8" i="2"/>
  <c r="AD8" i="2" s="1"/>
  <c r="Z8" i="2"/>
  <c r="AA5" i="2"/>
  <c r="AA9" i="2"/>
  <c r="AD9" i="2" s="1"/>
  <c r="Z9" i="2"/>
  <c r="R35" i="2"/>
  <c r="R12" i="2"/>
  <c r="T17" i="2"/>
  <c r="Q17" i="2"/>
  <c r="AA16" i="2"/>
  <c r="AD16" i="2" s="1"/>
  <c r="Z16" i="2"/>
  <c r="AA18" i="2"/>
  <c r="AD18" i="2" s="1"/>
  <c r="Z18" i="2"/>
  <c r="R19" i="2"/>
  <c r="R42" i="2"/>
  <c r="R30" i="2"/>
  <c r="R7" i="2"/>
  <c r="AA15" i="2"/>
  <c r="R40" i="2" l="1"/>
  <c r="R17" i="2"/>
  <c r="R28" i="2"/>
  <c r="R5" i="2"/>
  <c r="R38" i="2"/>
  <c r="R15" i="2"/>
  <c r="R34" i="2"/>
  <c r="R11" i="2"/>
  <c r="AE41" i="2"/>
  <c r="AG41" i="2" s="1"/>
  <c r="AH41" i="2" s="1"/>
  <c r="AE18" i="2"/>
  <c r="AG18" i="2" s="1"/>
  <c r="AH18" i="2" s="1"/>
  <c r="AE39" i="2"/>
  <c r="AG39" i="2" s="1"/>
  <c r="AH39" i="2" s="1"/>
  <c r="AE16" i="2"/>
  <c r="AG16" i="2" s="1"/>
  <c r="AH16" i="2" s="1"/>
  <c r="X17" i="2"/>
  <c r="V17" i="2"/>
  <c r="AE32" i="2"/>
  <c r="AG32" i="2" s="1"/>
  <c r="AH32" i="2" s="1"/>
  <c r="AE9" i="2"/>
  <c r="AG9" i="2" s="1"/>
  <c r="AH9" i="2" s="1"/>
  <c r="AE31" i="2"/>
  <c r="AG31" i="2" s="1"/>
  <c r="AH31" i="2" s="1"/>
  <c r="AE8" i="2"/>
  <c r="AG8" i="2" s="1"/>
  <c r="AH8" i="2" s="1"/>
  <c r="X5" i="2"/>
  <c r="V5" i="2"/>
  <c r="X15" i="2"/>
  <c r="V15" i="2"/>
  <c r="AE36" i="2"/>
  <c r="AG36" i="2" s="1"/>
  <c r="AH36" i="2" s="1"/>
  <c r="AE13" i="2"/>
  <c r="AG13" i="2" s="1"/>
  <c r="AH13" i="2" s="1"/>
  <c r="X11" i="2"/>
  <c r="V11" i="2"/>
  <c r="AE33" i="2"/>
  <c r="AG33" i="2" s="1"/>
  <c r="AH33" i="2" s="1"/>
  <c r="AE10" i="2"/>
  <c r="AG10" i="2" s="1"/>
  <c r="AH10" i="2" s="1"/>
  <c r="AE25" i="2"/>
  <c r="AG24" i="2"/>
  <c r="AH24" i="2" s="1"/>
  <c r="AE29" i="2"/>
  <c r="AG29" i="2" s="1"/>
  <c r="AH29" i="2" s="1"/>
  <c r="AE6" i="2"/>
  <c r="AE27" i="2"/>
  <c r="AG27" i="2" s="1"/>
  <c r="AH27" i="2" s="1"/>
  <c r="AE4" i="2"/>
  <c r="AG4" i="2" s="1"/>
  <c r="AH4" i="2" s="1"/>
  <c r="Z7" i="2"/>
  <c r="AA7" i="2"/>
  <c r="AD7" i="2" s="1"/>
  <c r="Z19" i="2"/>
  <c r="AA19" i="2"/>
  <c r="AD19" i="2" s="1"/>
  <c r="Z12" i="2"/>
  <c r="AA12" i="2"/>
  <c r="AD12" i="2" s="1"/>
  <c r="AG25" i="2" l="1"/>
  <c r="AH25" i="2" s="1"/>
  <c r="AE12" i="2"/>
  <c r="AG12" i="2" s="1"/>
  <c r="AH12" i="2" s="1"/>
  <c r="AE35" i="2"/>
  <c r="AG35" i="2" s="1"/>
  <c r="AH35" i="2" s="1"/>
  <c r="AE42" i="2"/>
  <c r="AG42" i="2" s="1"/>
  <c r="AH42" i="2" s="1"/>
  <c r="AE19" i="2"/>
  <c r="AG19" i="2" s="1"/>
  <c r="AH19" i="2" s="1"/>
  <c r="AE7" i="2"/>
  <c r="AG7" i="2" s="1"/>
  <c r="AH7" i="2" s="1"/>
  <c r="AE30" i="2"/>
  <c r="AG30" i="2" s="1"/>
  <c r="AH30" i="2" s="1"/>
  <c r="AE23" i="2"/>
  <c r="AG23" i="2" s="1"/>
  <c r="AH23" i="2" s="1"/>
  <c r="AG6" i="2"/>
  <c r="AH6" i="2" s="1"/>
  <c r="AB17" i="2"/>
  <c r="AD17" i="2" s="1"/>
  <c r="Z17" i="2"/>
  <c r="AB11" i="2"/>
  <c r="AD11" i="2" s="1"/>
  <c r="Z11" i="2"/>
  <c r="AB15" i="2"/>
  <c r="AD15" i="2" s="1"/>
  <c r="Z15" i="2"/>
  <c r="AB5" i="2"/>
  <c r="AD5" i="2" s="1"/>
  <c r="Z5" i="2"/>
  <c r="AE28" i="2" l="1"/>
  <c r="AG28" i="2" s="1"/>
  <c r="AH28" i="2" s="1"/>
  <c r="AE5" i="2"/>
  <c r="AG5" i="2" s="1"/>
  <c r="AH5" i="2" s="1"/>
  <c r="AE38" i="2"/>
  <c r="AG38" i="2" s="1"/>
  <c r="AH38" i="2" s="1"/>
  <c r="AE15" i="2"/>
  <c r="AG15" i="2" s="1"/>
  <c r="AH15" i="2" s="1"/>
  <c r="AE34" i="2"/>
  <c r="AG34" i="2" s="1"/>
  <c r="AH34" i="2" s="1"/>
  <c r="AE11" i="2"/>
  <c r="AG11" i="2" s="1"/>
  <c r="AH11" i="2" s="1"/>
  <c r="AE40" i="2"/>
  <c r="AG40" i="2" s="1"/>
  <c r="AH40" i="2" s="1"/>
  <c r="AE17" i="2"/>
  <c r="AG17" i="2" s="1"/>
  <c r="AH17" i="2" s="1"/>
  <c r="AH44" i="2" l="1"/>
  <c r="AH67" i="2" s="1"/>
  <c r="AH70" i="2" s="1"/>
</calcChain>
</file>

<file path=xl/sharedStrings.xml><?xml version="1.0" encoding="utf-8"?>
<sst xmlns="http://schemas.openxmlformats.org/spreadsheetml/2006/main" count="569" uniqueCount="396">
  <si>
    <t>ردیف</t>
  </si>
  <si>
    <t>کد ملی</t>
  </si>
  <si>
    <t>نام</t>
  </si>
  <si>
    <t>نام خانوادگی</t>
  </si>
  <si>
    <t>نام پدر</t>
  </si>
  <si>
    <t>تاریخ تولد</t>
  </si>
  <si>
    <t>شماره شناسنامه</t>
  </si>
  <si>
    <t>تلفن همراه</t>
  </si>
  <si>
    <t>مقطع تحصیلی</t>
  </si>
  <si>
    <t>رشته تحصیلی</t>
  </si>
  <si>
    <t>شماره بیمه تامین اجتماعی</t>
  </si>
  <si>
    <t>تاهل</t>
  </si>
  <si>
    <t>نام و نام خانوادگی همسر</t>
  </si>
  <si>
    <t>کد ملی همسر</t>
  </si>
  <si>
    <t>تاریخ تولد همسر</t>
  </si>
  <si>
    <t>تاریخ ازدواج</t>
  </si>
  <si>
    <t>نام اولاد1</t>
  </si>
  <si>
    <t>کد ملی اولاد1</t>
  </si>
  <si>
    <t>تاریخ تولد اولاد1</t>
  </si>
  <si>
    <t>نام اولاد2</t>
  </si>
  <si>
    <t>کد ملی اولاد2</t>
  </si>
  <si>
    <t>تاریخ تولد اولاد2</t>
  </si>
  <si>
    <t>نام اولاد3</t>
  </si>
  <si>
    <t>کد ملی اولاد3</t>
  </si>
  <si>
    <t>تاریخ تولد اولاد3</t>
  </si>
  <si>
    <t>کاشان</t>
  </si>
  <si>
    <t>متاهل</t>
  </si>
  <si>
    <t>حامد</t>
  </si>
  <si>
    <t>هادی</t>
  </si>
  <si>
    <t>احمدی کاشانی</t>
  </si>
  <si>
    <t>علی اکبر</t>
  </si>
  <si>
    <t>صنایع نساجی</t>
  </si>
  <si>
    <t>سمیرارفعت پور</t>
  </si>
  <si>
    <t>آیه</t>
  </si>
  <si>
    <t>محمدامین</t>
  </si>
  <si>
    <t>غلامرضا</t>
  </si>
  <si>
    <t>باغچه مرقی</t>
  </si>
  <si>
    <t>علی</t>
  </si>
  <si>
    <t>کاردانی</t>
  </si>
  <si>
    <t>دیپلم</t>
  </si>
  <si>
    <t>لیلا احمدی مرقی</t>
  </si>
  <si>
    <t>علیرضا</t>
  </si>
  <si>
    <t>حمیدرضا</t>
  </si>
  <si>
    <t>ایلیا</t>
  </si>
  <si>
    <t>میثم</t>
  </si>
  <si>
    <t>بنده علی مرقی</t>
  </si>
  <si>
    <t>علی رضا</t>
  </si>
  <si>
    <t>تعمیرکارلوازم برقی</t>
  </si>
  <si>
    <t>ریحانه افتخاری</t>
  </si>
  <si>
    <t>پایان دوره راهنمایی</t>
  </si>
  <si>
    <t>سیدعلی</t>
  </si>
  <si>
    <t>یوسف</t>
  </si>
  <si>
    <t>قاسم</t>
  </si>
  <si>
    <t>تهران</t>
  </si>
  <si>
    <t>زهره کتابی</t>
  </si>
  <si>
    <t>مرتضی</t>
  </si>
  <si>
    <t>مهسا</t>
  </si>
  <si>
    <t>برق صنعتی</t>
  </si>
  <si>
    <t>پایان دوره ابتدایی</t>
  </si>
  <si>
    <t>ابوالفضل</t>
  </si>
  <si>
    <t>چوپانیان</t>
  </si>
  <si>
    <t>احمدرضا</t>
  </si>
  <si>
    <t>کارشناسی</t>
  </si>
  <si>
    <t>مکانیک-طراحی جامدات</t>
  </si>
  <si>
    <t>معصومه رضاپورقهرمانلو</t>
  </si>
  <si>
    <t>محمدمهدی</t>
  </si>
  <si>
    <t>حسنی</t>
  </si>
  <si>
    <t>روح الله</t>
  </si>
  <si>
    <t>کاشان - آزران</t>
  </si>
  <si>
    <t>کاشان- مرق</t>
  </si>
  <si>
    <t>مریم عباسیان ورکانی</t>
  </si>
  <si>
    <t>امیرعباس</t>
  </si>
  <si>
    <t>حیدری ارمکی</t>
  </si>
  <si>
    <t>عباس</t>
  </si>
  <si>
    <t>کاشان - ارمک</t>
  </si>
  <si>
    <t>محدثه قاسمی ارمکی</t>
  </si>
  <si>
    <t>مهدی</t>
  </si>
  <si>
    <t>فاطمه</t>
  </si>
  <si>
    <t>حسین</t>
  </si>
  <si>
    <t>محسن</t>
  </si>
  <si>
    <t>ذوالفقاری</t>
  </si>
  <si>
    <t>عزت الله</t>
  </si>
  <si>
    <t>کاشان - پنداس</t>
  </si>
  <si>
    <t>دیپلم کاردانش</t>
  </si>
  <si>
    <t>تاسیسات گازرسانی</t>
  </si>
  <si>
    <t>زهرا راهی</t>
  </si>
  <si>
    <t>کاشان - راوند</t>
  </si>
  <si>
    <t>محمد</t>
  </si>
  <si>
    <t>رهبرنوش آبادی</t>
  </si>
  <si>
    <t>آران وبیدگل - نوش آباد</t>
  </si>
  <si>
    <t>نرگس صفایی نوش آبادی</t>
  </si>
  <si>
    <t>بهار</t>
  </si>
  <si>
    <t>کاشان - مرق</t>
  </si>
  <si>
    <t>صندوقی</t>
  </si>
  <si>
    <t>صدیقه هنرمند کاشی</t>
  </si>
  <si>
    <t>محمدرسول</t>
  </si>
  <si>
    <t>قیصری راوندی</t>
  </si>
  <si>
    <t>زهره لطفی راوندی</t>
  </si>
  <si>
    <t>مصطفی</t>
  </si>
  <si>
    <t>کامران منش</t>
  </si>
  <si>
    <t>اکرم شادمان پور</t>
  </si>
  <si>
    <t>محدثه</t>
  </si>
  <si>
    <t>محمدحسین</t>
  </si>
  <si>
    <t xml:space="preserve">هانی </t>
  </si>
  <si>
    <t>کچویان فینی</t>
  </si>
  <si>
    <t>قدرت</t>
  </si>
  <si>
    <t>محبوبه صالحی زارعی</t>
  </si>
  <si>
    <t>کیانا</t>
  </si>
  <si>
    <t>مرادی</t>
  </si>
  <si>
    <t>حشمت الله</t>
  </si>
  <si>
    <t>کاشان - نوش آباد</t>
  </si>
  <si>
    <t>محمدطاها</t>
  </si>
  <si>
    <t>جوشکاری برق</t>
  </si>
  <si>
    <t xml:space="preserve">حسین </t>
  </si>
  <si>
    <t>ملائی مرقی</t>
  </si>
  <si>
    <t>نسایی برزکی</t>
  </si>
  <si>
    <t>عباسعلی</t>
  </si>
  <si>
    <t>مکانیک خودرو</t>
  </si>
  <si>
    <t>زینب اشتری برزکی</t>
  </si>
  <si>
    <t>سلمانیان یزدلی</t>
  </si>
  <si>
    <t>حمید</t>
  </si>
  <si>
    <t>عبدالکریم</t>
  </si>
  <si>
    <t>صفر</t>
  </si>
  <si>
    <t>ماشااله</t>
  </si>
  <si>
    <t>آران وبیدگل - یزدل</t>
  </si>
  <si>
    <t>منیرطحانی یزدلی</t>
  </si>
  <si>
    <t>مجرد</t>
  </si>
  <si>
    <t>سیکل</t>
  </si>
  <si>
    <t>تجربی</t>
  </si>
  <si>
    <t>زهرا فتوحی</t>
  </si>
  <si>
    <t xml:space="preserve">غفاری </t>
  </si>
  <si>
    <t>ماشاالله</t>
  </si>
  <si>
    <t>حکیمه حسنی قزآنی</t>
  </si>
  <si>
    <t>علی اصغر</t>
  </si>
  <si>
    <t>یاسمین</t>
  </si>
  <si>
    <t>فاطمه نوروزی پور قزآنی</t>
  </si>
  <si>
    <t>هزینه های  مزدی  و ...  تاسیسات ماهانه 1400  برای  32 نفر کارگر.</t>
  </si>
  <si>
    <t>عناوین هزینه</t>
  </si>
  <si>
    <t>مزد روزانه سال 95</t>
  </si>
  <si>
    <t>پایه سنواتی روزانه سال93</t>
  </si>
  <si>
    <t>افزایش پایه سنواتی روزانه سال93(117%) برای سال 94</t>
  </si>
  <si>
    <t>پایه سنواتی روزانه سال94</t>
  </si>
  <si>
    <t>افزایش پایه سنواتی روزانه سال94(114%) برای سال95</t>
  </si>
  <si>
    <t>پایه سنواتی روزانه سال95</t>
  </si>
  <si>
    <t>جمع مزد وپایه سنواتی روزانه 95</t>
  </si>
  <si>
    <t>افزایش پایه سنواتی روزانه سال95(112%) برای سال96</t>
  </si>
  <si>
    <t>پایه سنواتی روزانه سال96</t>
  </si>
  <si>
    <t>مزد روزانه سال 96</t>
  </si>
  <si>
    <t>جمع مزد وپایه سنواتی روزانه 96</t>
  </si>
  <si>
    <t>مزد روزانه سال 97</t>
  </si>
  <si>
    <t>افزایش پایه سنواتی روزانه سال96(110.4%) برای سال97</t>
  </si>
  <si>
    <t>پایه سنواتی روزانه سال97</t>
  </si>
  <si>
    <t>جمع مزد وپایه سنواتی روزانه 97</t>
  </si>
  <si>
    <t>مزد ماهانه سال 97</t>
  </si>
  <si>
    <t>مزد روزانه سال98</t>
  </si>
  <si>
    <t>جمع مزد وپایه سنواتی تجمیعی روزانه قبلی برای اول سال 98</t>
  </si>
  <si>
    <t>پایه سنواتی روزانه سال98</t>
  </si>
  <si>
    <t>جمع مزد وپایه سنواتی تجمیعی روزانه 98</t>
  </si>
  <si>
    <t>مزد روزانه سال99</t>
  </si>
  <si>
    <t>پایه سنواتی روزانه سال99</t>
  </si>
  <si>
    <t>جمع مزد وپایه سنواتی تجمیعی روزانه اول سال 99</t>
  </si>
  <si>
    <t>مزد روزانه سال1400</t>
  </si>
  <si>
    <t>جمع مزد وپایه سنواتی تجمیعی روزانه قبلی برای اول سال 1400</t>
  </si>
  <si>
    <t>پایه سنواتی روزانه سال1400</t>
  </si>
  <si>
    <t>جمع مزد وپایه سنواتی تجمیعی روزانه اول سال 1400</t>
  </si>
  <si>
    <t>ماهانه</t>
  </si>
  <si>
    <t xml:space="preserve">تعداد </t>
  </si>
  <si>
    <t>جمع ماهانه</t>
  </si>
  <si>
    <t>مبلغ ماهانه  حسب مورد با بیمه23%</t>
  </si>
  <si>
    <r>
      <t>مزد گروه چهار(حسین خدابخشی- جدید)</t>
    </r>
    <r>
      <rPr>
        <sz val="8"/>
        <color rgb="FFC00000"/>
        <rFont val="B Koodak"/>
        <charset val="178"/>
      </rPr>
      <t xml:space="preserve"> (مصوبه 99/3/17 شورایعالی کار تاثیر گذاشته)</t>
    </r>
  </si>
  <si>
    <t>مزد گروه شش</t>
  </si>
  <si>
    <t>مزد گروه هفت</t>
  </si>
  <si>
    <t>مزد گروه هشت</t>
  </si>
  <si>
    <t>مزد گروه هشت آقای  حسین ملایی شروع بکار از مهر92 - پایه سنواتی از ابتدای 94</t>
  </si>
  <si>
    <t>مزد گروه هشت آقای  میثم بنده علی شروع بکار از مهر 93 - پایه سنواتی از ابتدای 95</t>
  </si>
  <si>
    <t>مزد گروه هشت آقای  محسن ذوالفقاری شروع بکار از شهریور 94 - پایه سنواتی از ابتدای 96</t>
  </si>
  <si>
    <t>مزد گروه نه</t>
  </si>
  <si>
    <t>مزد گروه یازده</t>
  </si>
  <si>
    <t>مزد گروه یازده آقایان محسن راستین شروع بکار از مهر92 و محمد رهبر شروع بکار از اسفند 92 - پایه سنواتی از ابتدای 94</t>
  </si>
  <si>
    <t>مزد گروه یازده آقای  صادق الماسی شروع بکار از دی 94 - پایه سنواتی از ابتدای 96</t>
  </si>
  <si>
    <t>مزد گروه یازده (حسین دنیا دیده از اول مهر99)</t>
  </si>
  <si>
    <t>مزد گروه دوازده آقای حامد  طاهری شروع بکار از اسفند 92 - پایه سنواتی از ابتدای 94</t>
  </si>
  <si>
    <t>مزد گروه دوازده آقای هادی احمدی شروع بکار از اردیبهشت93  - پایه سنواتی از ابتدای 95</t>
  </si>
  <si>
    <t>مزد گروه سیزده</t>
  </si>
  <si>
    <t>مزد گروه چهارده</t>
  </si>
  <si>
    <t>مزد گروه چهارده آقای  حامد نسایی شروع بکار از بهمن 92 - پایه سنواتی از ابتدای 94</t>
  </si>
  <si>
    <r>
      <t xml:space="preserve">مسكن </t>
    </r>
    <r>
      <rPr>
        <b/>
        <sz val="8"/>
        <color rgb="FFFF0000"/>
        <rFont val="B Koodak"/>
        <charset val="178"/>
      </rPr>
      <t>(مصوبه 99/5/29هیات وزیران اعمال شد)</t>
    </r>
  </si>
  <si>
    <r>
      <t>اولاد  (حداقل)</t>
    </r>
    <r>
      <rPr>
        <b/>
        <sz val="8"/>
        <color rgb="FFC00000"/>
        <rFont val="B Koodak"/>
        <charset val="178"/>
      </rPr>
      <t>(مصوبه 99/3/17 شورایعالی کار تاثیر گذاشته)</t>
    </r>
  </si>
  <si>
    <t>نوبت کاری شیفت شب (حداقل 2 نفر)</t>
  </si>
  <si>
    <r>
      <t>اضافه کار253،083</t>
    </r>
    <r>
      <rPr>
        <sz val="8"/>
        <color theme="1"/>
        <rFont val="B Koodak"/>
        <charset val="178"/>
      </rPr>
      <t>×32 (حداقل)</t>
    </r>
  </si>
  <si>
    <t xml:space="preserve">بازخرید ذخیره مرخصی 4 روز (حداقل) </t>
  </si>
  <si>
    <r>
      <t>عیدی و سنوات گروه چهار</t>
    </r>
    <r>
      <rPr>
        <b/>
        <sz val="8"/>
        <color rgb="FFC00000"/>
        <rFont val="B Koodak"/>
        <charset val="178"/>
      </rPr>
      <t>(مصوبه 99/3/17 شورایعالی کار تاثیر گذاشته)</t>
    </r>
  </si>
  <si>
    <t>عیدی و سنوات گروه شش</t>
  </si>
  <si>
    <t>عیدی و سنوات گروه هفت</t>
  </si>
  <si>
    <t>عیدی و سنوات گروه هشت</t>
  </si>
  <si>
    <t>عیدی و سنوات گروه هشت آقای  حسین ملایی شروع بکار از مهر92 - پایه سنواتی از ابتدای 94</t>
  </si>
  <si>
    <t>عیدی و سنوات گروه هشت آقای  میثم بنده علی شروع بکار از مهر 93 - پایه سنواتی از ابتدای 95</t>
  </si>
  <si>
    <t>عیدی و سنوات گروه نه</t>
  </si>
  <si>
    <t>عیدی و سنوات گروه یازده</t>
  </si>
  <si>
    <t>عیدی و سنوات گروه یازده آقایان محسن راستین شروع بکار از مهر92 و محمد رهبر شروع بکار از اسفند 93 - پایه سنواتی از ابتدای 94</t>
  </si>
  <si>
    <t>عیدی و سنوات گروه یازده آقای  صادق الماسی شروع بکار از دی 94 - پایه سنواتی از ابتدای 96</t>
  </si>
  <si>
    <t>عیدی و سنوات گروه یازده آقای  حسین دنیادیده از مهر 99، پایه سنواتی از اول 1400</t>
  </si>
  <si>
    <t>عیدی و سنوات گروه دوازده آقای حامد  طاهری شروع بکار از اسفند 92 - پایه سنواتی از ابتدای 94</t>
  </si>
  <si>
    <t>عیدی و سنوات گروه دوازده آقایان هادی احمدی شروع بکار از اردیبهشت93 - پایه سنواتی از ابتدای 95</t>
  </si>
  <si>
    <t>عیدی و سنوات گروه سیزده</t>
  </si>
  <si>
    <t>عیدی و سنوات گروه چهارده</t>
  </si>
  <si>
    <t>عیدی و سنوات گروه چهارده آقای  حامد نسایی شروع بکار از بهمن 92 - پایه سنواتی از ابتدای 94</t>
  </si>
  <si>
    <t>یارانه ناهار  به علت شیوع ویروس کرونا و عدم حضور تا ساعت 16 حذف شده است.</t>
  </si>
  <si>
    <t>جمع</t>
  </si>
  <si>
    <t>حق فنی (حداقل)</t>
  </si>
  <si>
    <t>بیمه مسئولیت حداقل (سالیانه 120،000،000 ریال)</t>
  </si>
  <si>
    <t>هزینه آزمایشات قبل از استخدام (حداقل)هر نفر 800،000ریال</t>
  </si>
  <si>
    <t xml:space="preserve">لباس کار و کفش و کاپشن هر نفر در سال حداقل                 5،000،000 ریال </t>
  </si>
  <si>
    <t>هزینه نماینده  (حداقل)</t>
  </si>
  <si>
    <t>هزینه ایاب و ذهاب اقماری و شیفت ها و استفاده از وسیله نقلیه شخصی (حداقل)</t>
  </si>
  <si>
    <t>هزینه باز کردن فاضلاب (حداقل)</t>
  </si>
  <si>
    <t>هزینه سوخت وانت و موتور، تعویض روغن، فیلترها و موتورها، تعمیر خودرو (حداقل)</t>
  </si>
  <si>
    <t>حداقل هزینه تعمیرات اساسی سردخانه</t>
  </si>
  <si>
    <t>حداقل هزینه بالابر، داربست و جرثقیل</t>
  </si>
  <si>
    <t xml:space="preserve">حداقل هزینه تخلیه چربی گیری ها </t>
  </si>
  <si>
    <t>حداقل هزینه سرویس روتین آسانسور</t>
  </si>
  <si>
    <t>حداقل هزینه دزدگیر</t>
  </si>
  <si>
    <t>حداقل هزینه تعمیر و رگلاژ درب  شیشه ای سکوریت و  اتوماتیک و پنجره های دو جداره</t>
  </si>
  <si>
    <t>حداقل هزینه تعمیر پرده کرکره پارچه ای و عمودی</t>
  </si>
  <si>
    <t>پرداخت  30% حق بیمه مازاد برای بازنشستگی حداقل صفر نفر دارای سنوات بیش از 28 سال بر مبنای 50 ساعت نرخ اضافه کار گروه 1</t>
  </si>
  <si>
    <t>(مصوبه 99/3/17 شورایعالی کار تاثیر گذاشته)</t>
  </si>
  <si>
    <t>( آقایان پر آور و خیرالنسایی بازنشسته شدند)</t>
  </si>
  <si>
    <r>
      <rPr>
        <b/>
        <sz val="8"/>
        <color rgb="FFFF0000"/>
        <rFont val="B Zar"/>
        <charset val="178"/>
      </rPr>
      <t>حق الزحمه سید علی سجادی</t>
    </r>
    <r>
      <rPr>
        <b/>
        <sz val="8"/>
        <color theme="1"/>
        <rFont val="B Zar"/>
        <charset val="178"/>
      </rPr>
      <t xml:space="preserve"> سال 99 ماهانه 56،500،000 ریال با 20% افزایش برای 1400 می شود 67،800،000 ریال. 500 هزارتومن هزینه شرکت کسر گردد.</t>
    </r>
  </si>
  <si>
    <t>مزد و مزایای گروه 6 شغلی منظور گردد.</t>
  </si>
  <si>
    <t>روز زن کلا بعهده دانشگاه</t>
  </si>
  <si>
    <t>لوازم تحریر دانش آموزان کلا بعهده دانشگاه</t>
  </si>
  <si>
    <t>روز کارگر کلا بعهده دانشگاه</t>
  </si>
  <si>
    <t>ارزاق ماه رمضان کلا بعهده دانشگاه</t>
  </si>
  <si>
    <t xml:space="preserve">جمع کل </t>
  </si>
  <si>
    <t>سایر هزینه ها به ریز و آنالیزشده مد نظر شرکت</t>
  </si>
  <si>
    <t>سود موردنظر شرکت</t>
  </si>
  <si>
    <t>جمع کل هزینه ها با سود  و سایر هزینه های مد نظر شرکت. مبلغ قرارداد 1400</t>
  </si>
  <si>
    <t>درصورت وجود اشتباه محاسباتی از طرف دانشگاه ،حق دانشگاه کاشان برای اصلاح در هر مرحله از واگذاری و قرارداد محفوظ است.</t>
  </si>
  <si>
    <t xml:space="preserve">   هزینه مالیات تکلیفی موضوع ماده 104قانون مالیات های مستقیم واصلاحیه آن  3% حذف شده است. لذا، در این آنالیز منظور نشده است.</t>
  </si>
  <si>
    <r>
      <t>م</t>
    </r>
    <r>
      <rPr>
        <b/>
        <i/>
        <sz val="8"/>
        <color theme="1"/>
        <rFont val="B Koodak"/>
        <charset val="178"/>
      </rPr>
      <t>اليات ارزش افزوده به عهده دانشگاه است</t>
    </r>
  </si>
  <si>
    <t>سقف پرداخت کمک هزینه فرزند برداشته شده است.</t>
  </si>
  <si>
    <t xml:space="preserve">  هزینه های مزدی مصوبه شورای عالی کار مورخ 99/12/23 منظور شده است. حق مسکن 4،500،000 ریال منظور شده است.</t>
  </si>
  <si>
    <t>هرگونه افزایش و کاهش در تعداد نیروی انسانی به همان میزان در کارکرد شرکت منظور خواهد شد.</t>
  </si>
  <si>
    <t>پرداخت پایه سنواتی افرادی که شروع به کار آنها قبل از سال 92 بوده است به صورت کامل خواهد بود و بعد از آن به نسبت مدت اشتغال محاسبه شده است.</t>
  </si>
  <si>
    <t xml:space="preserve">خانه های به رنگ آبی قیمت ارائه شده توسط برنده مناقصه می باشد. برآورد ناظر قرارداد در بقیه موارد توسط برنده مناقصه تغییر نکرده است. </t>
  </si>
  <si>
    <t>گروه شغلی</t>
  </si>
  <si>
    <t>مزد روزانه سال 1400</t>
  </si>
  <si>
    <t>1394/05/03</t>
  </si>
  <si>
    <t>1399/01/04</t>
  </si>
  <si>
    <t>شغل</t>
  </si>
  <si>
    <t>کاردان فنی</t>
  </si>
  <si>
    <t>تعداد اولاد</t>
  </si>
  <si>
    <t>جمع حقوق</t>
  </si>
  <si>
    <t>کارگر فنی تاسیسات</t>
  </si>
  <si>
    <t>1385/06/07</t>
  </si>
  <si>
    <t>کمک بنا</t>
  </si>
  <si>
    <t>1389/11/24</t>
  </si>
  <si>
    <t>1396/05/18</t>
  </si>
  <si>
    <t>جوشکار</t>
  </si>
  <si>
    <t>کارگر ارشد فنی تاسیسات</t>
  </si>
  <si>
    <t>1383/01/13</t>
  </si>
  <si>
    <t>1386/01/26</t>
  </si>
  <si>
    <t>1398/02/14</t>
  </si>
  <si>
    <t>برق کار</t>
  </si>
  <si>
    <t>1380/12/19</t>
  </si>
  <si>
    <t>1397/03/20</t>
  </si>
  <si>
    <t>1383/04/28</t>
  </si>
  <si>
    <t>1380/02/30</t>
  </si>
  <si>
    <t>1382/05/08</t>
  </si>
  <si>
    <t>1392/11/09</t>
  </si>
  <si>
    <t>1396/06/04</t>
  </si>
  <si>
    <t>1388/08/30</t>
  </si>
  <si>
    <t>بنا</t>
  </si>
  <si>
    <t>کاردان خدمات فنی</t>
  </si>
  <si>
    <t>1398/11/07</t>
  </si>
  <si>
    <t>کارشناس خدمات فنی</t>
  </si>
  <si>
    <t>1398/06/11</t>
  </si>
  <si>
    <t>1375/03/06</t>
  </si>
  <si>
    <t>1379/04/20</t>
  </si>
  <si>
    <t>1382/06/07</t>
  </si>
  <si>
    <t>1382/10/11</t>
  </si>
  <si>
    <t>جمع هزینه های مزدی</t>
  </si>
  <si>
    <t>جمع هزینه های غیر مزدی</t>
  </si>
  <si>
    <t>نوع</t>
  </si>
  <si>
    <t>یارانه غذا</t>
  </si>
  <si>
    <t>نرخ اضافه کار</t>
  </si>
  <si>
    <t>توضیحات</t>
  </si>
  <si>
    <t>تاسیسات</t>
  </si>
  <si>
    <t xml:space="preserve"> محل تولد</t>
  </si>
  <si>
    <t>1355/01/01</t>
  </si>
  <si>
    <t>1369/12/03</t>
  </si>
  <si>
    <t>1351/07/25</t>
  </si>
  <si>
    <t>1355/06/09</t>
  </si>
  <si>
    <t>1357/04/10</t>
  </si>
  <si>
    <t>1358/06/17</t>
  </si>
  <si>
    <t>1371/07/13</t>
  </si>
  <si>
    <t>1337/11/01</t>
  </si>
  <si>
    <t>1354/11/01</t>
  </si>
  <si>
    <t>1362/09/27</t>
  </si>
  <si>
    <t>1349/01/10</t>
  </si>
  <si>
    <t>1354/11/04</t>
  </si>
  <si>
    <t>1352/01/28</t>
  </si>
  <si>
    <t>1355/05/01</t>
  </si>
  <si>
    <t>1367/11/17</t>
  </si>
  <si>
    <t>1372/11/23</t>
  </si>
  <si>
    <t>1370/03/18</t>
  </si>
  <si>
    <t>سیدمحمدتقی</t>
  </si>
  <si>
    <t>یوسف زاده نوش آبادی</t>
  </si>
  <si>
    <t>سیدعباس</t>
  </si>
  <si>
    <t>1370/11/19</t>
  </si>
  <si>
    <t>1365/04/18</t>
  </si>
  <si>
    <t>1368/09/26</t>
  </si>
  <si>
    <t>پورظهیر</t>
  </si>
  <si>
    <t>کار و دانش</t>
  </si>
  <si>
    <t>1388/04/24</t>
  </si>
  <si>
    <t>سجادی نوش آبادی</t>
  </si>
  <si>
    <t>سیدحسن</t>
  </si>
  <si>
    <t>1354/02/01</t>
  </si>
  <si>
    <t>**</t>
  </si>
  <si>
    <t>اکرم خطیبی</t>
  </si>
  <si>
    <t>1361/05/18</t>
  </si>
  <si>
    <t>1376/05/10</t>
  </si>
  <si>
    <t>زهراسادات</t>
  </si>
  <si>
    <t>1381/07/04</t>
  </si>
  <si>
    <t>1385/05/07</t>
  </si>
  <si>
    <t>هانیه سادات</t>
  </si>
  <si>
    <t>راننده با ماشین</t>
  </si>
  <si>
    <t>جغرافیا و برنامه ریزی شهری</t>
  </si>
  <si>
    <t>عنوان هزینه های مزدی</t>
  </si>
  <si>
    <t>عنوان هزینه های غیر مزدی</t>
  </si>
  <si>
    <t>نرخ برنده مناقصه</t>
  </si>
  <si>
    <t>حق اولاد برای پرسنل تاسیسات به شرح لیست پیوست(حداقل)</t>
  </si>
  <si>
    <t>هزینه کمک هزینه مسکن و بن خواروبار مطابق قانون کار به شرح پیوست با لحاظ 23% حق بیمه سهم کارفرما</t>
  </si>
  <si>
    <t>ترمیم حقوق - حق تخصص پرسنل به شرح پیوست</t>
  </si>
  <si>
    <t>عیدی و سنوات ماهانه برای پرسنل به شرح پیوست</t>
  </si>
  <si>
    <t>متصدی خدمات اداری</t>
  </si>
  <si>
    <t>نظری</t>
  </si>
  <si>
    <t>باقی مجرد</t>
  </si>
  <si>
    <t>1360/11/09</t>
  </si>
  <si>
    <t>مهندسی مکانیک</t>
  </si>
  <si>
    <t>کارشناس ارشد فنی تاسیسات و نماینده</t>
  </si>
  <si>
    <t>سود مورد نظر پیمانکار</t>
  </si>
  <si>
    <t>درصورت وجود اشتباه محاسباتی از طرف دانشگاه، حق دانشگاه کاشان برای اصلاح در هر مرحله از واگذاری و قرارداد محفوظ است.</t>
  </si>
  <si>
    <t>ماليات ارزش افزوده به عهده کارفرما می باشد و بر اساس مقررات مربوطه اقدام خواهد شد.</t>
  </si>
  <si>
    <t>تهیه و تنظیم: عباس رئیسی</t>
  </si>
  <si>
    <t>غیر مزدی</t>
  </si>
  <si>
    <t>مزدی</t>
  </si>
  <si>
    <t>نوع هزینه : مزدی/غیر مزدی</t>
  </si>
  <si>
    <t>پایه سنواتی روزانه تجمعی تا پایان سال99</t>
  </si>
  <si>
    <t xml:space="preserve">جمع مزد وپایه سنواتی تجمعی روزانه سال1400 </t>
  </si>
  <si>
    <t>مزد روزانه سال 1401</t>
  </si>
  <si>
    <t>پایه سنواتی روزانه تجمعی تا پایان 1400</t>
  </si>
  <si>
    <t>پایه سنواتی روزانه سال1401</t>
  </si>
  <si>
    <t xml:space="preserve">جمع مزد وپایه سنواتی تجمعی روزانه سال1401 </t>
  </si>
  <si>
    <t>مزد روزانه 1401</t>
  </si>
  <si>
    <t>پایه سنواتی 1401</t>
  </si>
  <si>
    <t>جمع مزد روزانه 1401</t>
  </si>
  <si>
    <t>مزد ماهانه1401</t>
  </si>
  <si>
    <t>بن1401</t>
  </si>
  <si>
    <t>مسکن1401</t>
  </si>
  <si>
    <t>اولاد1401</t>
  </si>
  <si>
    <t>عیدی ماهیانه</t>
  </si>
  <si>
    <t>سنوات ماهیانه</t>
  </si>
  <si>
    <t>نرخ سال 1401</t>
  </si>
  <si>
    <t>پایه سنواتی سالهای قبل تا اول 1401</t>
  </si>
  <si>
    <t>آوا</t>
  </si>
  <si>
    <t>1400/10/22</t>
  </si>
  <si>
    <t>در صورت تغییر رقم حق مسکن توسط هیئت وزیران مبلغ مذکور به همان اندازه از صورت وضعیت شرکت حسب موردکسر/اضافه خواهد شد</t>
  </si>
  <si>
    <t>طاهری حذف</t>
  </si>
  <si>
    <t>نجاتی حذف</t>
  </si>
  <si>
    <t>حق تخصص</t>
  </si>
  <si>
    <t>سبد کالا</t>
  </si>
  <si>
    <t>هزینه های مزد ماهانه برای پرسنل تاسیسات سبز  برای اسفند (29 روز) به شرح لیست پیوست با لحاظ 23% حق بیمه سهم کارفرما</t>
  </si>
  <si>
    <t xml:space="preserve"> یارانه غذا  به شرح پیوست</t>
  </si>
  <si>
    <t>سبد کالا  به شرح پیوست</t>
  </si>
  <si>
    <t>سجادی اضافه کار نمیگیرد</t>
  </si>
  <si>
    <t>سجادی بازخرید مرخصی نمیگیرد</t>
  </si>
  <si>
    <t>بنی هاشمی حذف</t>
  </si>
  <si>
    <t>بازخرید ذخیره مرخصی 4 روز (حداقل)  با نرخ گروه 8 برای 21 نفر</t>
  </si>
  <si>
    <t>بیمه مسئولیت سالیانه (با توجه به که لیست هزینه ها ماهانه می باشد و بیمه سالیانه مبلغ به صورت یک دوازدهم درج شود)</t>
  </si>
  <si>
    <t xml:space="preserve">سلمانیان از 1402/11/01 یا شرط سنی بازنشسته </t>
  </si>
  <si>
    <t>هزینه متفرقه</t>
  </si>
  <si>
    <t>هزینه آزمایشات قبل از استخدام (حداقل) برای 21 نفر (با توجه به این که لیست هزینه ها ماهانه می باشد مبلغ به صورت یک دوازدهم درج شود)</t>
  </si>
  <si>
    <t xml:space="preserve">جمع کل هزینه های مزدی و غیر مزدی + سود مورد نظر شرکت </t>
  </si>
  <si>
    <t>اضافه کار پیشنهادی حداقل 50 ساعت  با  نرخ مزد روزانه گروه 8 برای 21 نفر</t>
  </si>
  <si>
    <t>حداقل هزینه تخلیه چاله چربی گیری های سلف و خوابگاه ها</t>
  </si>
  <si>
    <t>هزینه تعمیر و نگهداری پکیج های دانشگاه (بدون لحاظ لوازم مصرفی)</t>
  </si>
  <si>
    <t>هزینه تعمیر و نگهداری مشعل های دانشگاه (بدون لحاظ لوازم مصرفی)</t>
  </si>
  <si>
    <t>هزینه مالیات تکلیفی موضوع ماده 104 قانون مالیات های مستقیم واصلاحیه آن به عهده پیمانکار می باشد و بر اساس مقررات مربوط اقدام خواهد شد.</t>
  </si>
  <si>
    <t>نوبت کاری شیفت شب برای 2 نفر با نرخ 35% و مزد گروه 8 برای متوسط سالانه به همراه 23% بیمه سهم کارفرما</t>
  </si>
  <si>
    <t>لباس کار و کفش و کاپشن برای یک بار در سال حداقل برای 25 نفر (تعداد 21 نفر شرکتی و 4 نفر سایر (با توجه به این که که لیست هزینه ها ماهانه می باشد مبلغ به صورت یک دوازدهم درج شود)</t>
  </si>
  <si>
    <t>حداقل هزینه تعمیر پرده کرکره پارچه ای و عمودی(بدون لحاظ لوازم مصرفی)</t>
  </si>
  <si>
    <t>حداقل هزینه تعمیر و رگلاژ درب  شیشه ای سکوریت و  اتوماتیک و پنجره های دو جداره(بدون لحاظ لوازم مصرفی)</t>
  </si>
  <si>
    <t>حداقل هزینه دزدگیر(بدون لحاظ لوازم مصرفی)</t>
  </si>
  <si>
    <t>حداقل هزینه سرویس روتین آسانسور و اخذ گواهینامه بازرسی ادواری سالیانه و هزینه مرتبط با آن (بدون لحاظ لوازم مصرفی)</t>
  </si>
  <si>
    <t xml:space="preserve">هزینه های مربوط به مسئولیت ها و حق فنی پرسنل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</si>
</sst>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_-* #,##0.00\-;_-* &quot;-&quot;??_-;_-@_-"/>
    <numFmt numFmtId="164" formatCode="_(* #,##0.00_);_(* \(#,##0.00\);_(* &quot;-&quot;??_);_(@_)"/>
    <numFmt numFmtId="165" formatCode="#,##0;[Red]#,##0"/>
    <numFmt numFmtId="166" formatCode="_-* #,##0_-;_-* #,##0\-;_-* &quot;-&quot;??_-;_-@_-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B Nazanin"/>
      <family val="2"/>
      <charset val="178"/>
    </font>
    <font>
      <sz val="11"/>
      <color theme="1"/>
      <name val="Calibri"/>
      <family val="2"/>
      <scheme val="minor"/>
    </font>
    <font>
      <sz val="9"/>
      <color theme="1"/>
      <name val="B Titr"/>
      <charset val="178"/>
    </font>
    <font>
      <b/>
      <sz val="9"/>
      <color theme="1"/>
      <name val="B Koodak"/>
      <charset val="178"/>
    </font>
    <font>
      <b/>
      <sz val="8"/>
      <color theme="1"/>
      <name val="B Koodak"/>
      <charset val="178"/>
    </font>
    <font>
      <b/>
      <sz val="10"/>
      <color theme="1"/>
      <name val="B Zar"/>
      <charset val="178"/>
    </font>
    <font>
      <sz val="8"/>
      <color rgb="FFC00000"/>
      <name val="B Koodak"/>
      <charset val="178"/>
    </font>
    <font>
      <sz val="10"/>
      <color theme="1"/>
      <name val="B Zar"/>
      <charset val="178"/>
    </font>
    <font>
      <b/>
      <sz val="8"/>
      <color rgb="FFFF0000"/>
      <name val="B Koodak"/>
      <charset val="178"/>
    </font>
    <font>
      <b/>
      <sz val="8"/>
      <color rgb="FFC00000"/>
      <name val="B Koodak"/>
      <charset val="178"/>
    </font>
    <font>
      <sz val="8"/>
      <color theme="1"/>
      <name val="B Koodak"/>
      <charset val="178"/>
    </font>
    <font>
      <b/>
      <sz val="8"/>
      <color theme="1"/>
      <name val="B Zar"/>
      <charset val="178"/>
    </font>
    <font>
      <b/>
      <sz val="8"/>
      <color rgb="FFFF0000"/>
      <name val="B Zar"/>
      <charset val="178"/>
    </font>
    <font>
      <i/>
      <sz val="8"/>
      <color theme="1"/>
      <name val="B Koodak"/>
      <charset val="178"/>
    </font>
    <font>
      <b/>
      <i/>
      <sz val="8"/>
      <color theme="1"/>
      <name val="B Koodak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0"/>
      <color rgb="FFFF0000"/>
      <name val="B Nazanin"/>
      <charset val="178"/>
    </font>
    <font>
      <sz val="10"/>
      <name val="B Nazanin"/>
      <charset val="178"/>
    </font>
    <font>
      <sz val="11"/>
      <color theme="1"/>
      <name val="B Koodak"/>
      <charset val="178"/>
    </font>
    <font>
      <sz val="10"/>
      <color theme="0"/>
      <name val="B Nazanin"/>
      <charset val="17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4" fillId="2" borderId="1" xfId="0" applyFont="1" applyFill="1" applyBorder="1" applyAlignment="1">
      <alignment horizontal="left" vertical="center" textRotation="180" wrapText="1" readingOrder="2"/>
    </xf>
    <xf numFmtId="0" fontId="5" fillId="2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top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8" borderId="2" xfId="0" applyFont="1" applyFill="1" applyBorder="1" applyAlignment="1">
      <alignment horizontal="center" vertical="center" wrapText="1" readingOrder="2"/>
    </xf>
    <xf numFmtId="0" fontId="4" fillId="9" borderId="2" xfId="0" applyFont="1" applyFill="1" applyBorder="1" applyAlignment="1">
      <alignment horizontal="center" vertical="center" wrapText="1" readingOrder="2"/>
    </xf>
    <xf numFmtId="0" fontId="6" fillId="10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1" fontId="5" fillId="11" borderId="1" xfId="0" applyNumberFormat="1" applyFont="1" applyFill="1" applyBorder="1" applyAlignment="1">
      <alignment horizontal="center" vertical="center" wrapText="1" readingOrder="2"/>
    </xf>
    <xf numFmtId="1" fontId="5" fillId="6" borderId="1" xfId="0" applyNumberFormat="1" applyFont="1" applyFill="1" applyBorder="1" applyAlignment="1">
      <alignment horizontal="center" vertical="center" wrapText="1" readingOrder="2"/>
    </xf>
    <xf numFmtId="0" fontId="5" fillId="12" borderId="1" xfId="0" applyFont="1" applyFill="1" applyBorder="1" applyAlignment="1">
      <alignment horizontal="center" vertical="top" wrapText="1" readingOrder="2"/>
    </xf>
    <xf numFmtId="3" fontId="5" fillId="5" borderId="1" xfId="0" applyNumberFormat="1" applyFont="1" applyFill="1" applyBorder="1" applyAlignment="1">
      <alignment horizontal="center" vertical="center" wrapText="1" readingOrder="2"/>
    </xf>
    <xf numFmtId="3" fontId="5" fillId="6" borderId="1" xfId="0" applyNumberFormat="1" applyFont="1" applyFill="1" applyBorder="1" applyAlignment="1">
      <alignment horizontal="center" vertical="center" wrapText="1" readingOrder="2"/>
    </xf>
    <xf numFmtId="3" fontId="5" fillId="7" borderId="1" xfId="0" applyNumberFormat="1" applyFont="1" applyFill="1" applyBorder="1" applyAlignment="1">
      <alignment horizontal="center" vertical="center" wrapText="1" readingOrder="2"/>
    </xf>
    <xf numFmtId="3" fontId="5" fillId="8" borderId="1" xfId="0" applyNumberFormat="1" applyFont="1" applyFill="1" applyBorder="1" applyAlignment="1">
      <alignment horizontal="center" vertical="center" wrapText="1" readingOrder="2"/>
    </xf>
    <xf numFmtId="3" fontId="5" fillId="9" borderId="1" xfId="0" applyNumberFormat="1" applyFont="1" applyFill="1" applyBorder="1" applyAlignment="1">
      <alignment horizontal="center" vertical="center" wrapText="1" readingOrder="2"/>
    </xf>
    <xf numFmtId="3" fontId="5" fillId="10" borderId="1" xfId="0" applyNumberFormat="1" applyFont="1" applyFill="1" applyBorder="1" applyAlignment="1">
      <alignment horizontal="center" vertical="center" wrapText="1" readingOrder="2"/>
    </xf>
    <xf numFmtId="3" fontId="5" fillId="12" borderId="1" xfId="0" applyNumberFormat="1" applyFont="1" applyFill="1" applyBorder="1" applyAlignment="1">
      <alignment horizontal="center" vertical="center" wrapText="1" readingOrder="2"/>
    </xf>
    <xf numFmtId="3" fontId="5" fillId="11" borderId="1" xfId="0" applyNumberFormat="1" applyFont="1" applyFill="1" applyBorder="1" applyAlignment="1">
      <alignment horizontal="center" vertical="center" wrapText="1" readingOrder="2"/>
    </xf>
    <xf numFmtId="3" fontId="5" fillId="12" borderId="1" xfId="0" applyNumberFormat="1" applyFont="1" applyFill="1" applyBorder="1" applyAlignment="1">
      <alignment horizontal="center" vertical="top" wrapText="1" readingOrder="2"/>
    </xf>
    <xf numFmtId="165" fontId="5" fillId="12" borderId="1" xfId="0" applyNumberFormat="1" applyFont="1" applyFill="1" applyBorder="1" applyAlignment="1">
      <alignment horizontal="center" vertical="top" wrapText="1" readingOrder="2"/>
    </xf>
    <xf numFmtId="3" fontId="5" fillId="2" borderId="1" xfId="0" applyNumberFormat="1" applyFont="1" applyFill="1" applyBorder="1" applyAlignment="1">
      <alignment horizontal="center" vertical="top" wrapText="1" readingOrder="2"/>
    </xf>
    <xf numFmtId="165" fontId="5" fillId="2" borderId="1" xfId="0" applyNumberFormat="1" applyFont="1" applyFill="1" applyBorder="1" applyAlignment="1">
      <alignment horizontal="center" vertical="top" wrapText="1" readingOrder="2"/>
    </xf>
    <xf numFmtId="3" fontId="5" fillId="12" borderId="3" xfId="0" applyNumberFormat="1" applyFont="1" applyFill="1" applyBorder="1" applyAlignment="1">
      <alignment horizontal="center" vertical="center" wrapText="1" readingOrder="2"/>
    </xf>
    <xf numFmtId="3" fontId="8" fillId="10" borderId="1" xfId="0" applyNumberFormat="1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top" wrapText="1" readingOrder="2"/>
    </xf>
    <xf numFmtId="3" fontId="9" fillId="12" borderId="1" xfId="0" applyNumberFormat="1" applyFont="1" applyFill="1" applyBorder="1" applyAlignment="1">
      <alignment horizontal="center" vertical="center" wrapText="1" readingOrder="2"/>
    </xf>
    <xf numFmtId="3" fontId="5" fillId="2" borderId="1" xfId="0" applyNumberFormat="1" applyFont="1" applyFill="1" applyBorder="1" applyAlignment="1">
      <alignment horizontal="center" vertical="center" wrapText="1" readingOrder="2"/>
    </xf>
    <xf numFmtId="3" fontId="8" fillId="2" borderId="1" xfId="0" applyNumberFormat="1" applyFont="1" applyFill="1" applyBorder="1" applyAlignment="1">
      <alignment horizontal="center" vertical="center" wrapText="1" readingOrder="2"/>
    </xf>
    <xf numFmtId="3" fontId="11" fillId="2" borderId="1" xfId="0" applyNumberFormat="1" applyFont="1" applyFill="1" applyBorder="1" applyAlignment="1">
      <alignment horizontal="center" vertical="center" wrapText="1" readingOrder="2"/>
    </xf>
    <xf numFmtId="0" fontId="5" fillId="12" borderId="1" xfId="0" applyFont="1" applyFill="1" applyBorder="1" applyAlignment="1">
      <alignment horizontal="center" vertical="center" wrapText="1" readingOrder="2"/>
    </xf>
    <xf numFmtId="3" fontId="8" fillId="12" borderId="1" xfId="0" applyNumberFormat="1" applyFont="1" applyFill="1" applyBorder="1" applyAlignment="1">
      <alignment horizontal="center" vertical="center" wrapText="1" readingOrder="2"/>
    </xf>
    <xf numFmtId="3" fontId="11" fillId="13" borderId="1" xfId="0" applyNumberFormat="1" applyFont="1" applyFill="1" applyBorder="1" applyAlignment="1">
      <alignment horizontal="center" vertical="center" wrapText="1" readingOrder="2"/>
    </xf>
    <xf numFmtId="0" fontId="0" fillId="12" borderId="0" xfId="0" applyFill="1"/>
    <xf numFmtId="3" fontId="5" fillId="13" borderId="1" xfId="0" applyNumberFormat="1" applyFont="1" applyFill="1" applyBorder="1" applyAlignment="1">
      <alignment horizontal="center" vertical="center" wrapText="1" readingOrder="2"/>
    </xf>
    <xf numFmtId="3" fontId="5" fillId="14" borderId="1" xfId="0" applyNumberFormat="1" applyFont="1" applyFill="1" applyBorder="1" applyAlignment="1">
      <alignment horizontal="center" vertical="center" wrapText="1" readingOrder="2"/>
    </xf>
    <xf numFmtId="3" fontId="10" fillId="12" borderId="1" xfId="0" applyNumberFormat="1" applyFont="1" applyFill="1" applyBorder="1" applyAlignment="1">
      <alignment horizontal="center" vertical="center" wrapText="1" readingOrder="2"/>
    </xf>
    <xf numFmtId="3" fontId="12" fillId="0" borderId="1" xfId="0" applyNumberFormat="1" applyFont="1" applyBorder="1" applyAlignment="1">
      <alignment horizontal="center" vertical="center" wrapText="1" readingOrder="2"/>
    </xf>
    <xf numFmtId="3" fontId="5" fillId="0" borderId="1" xfId="0" applyNumberFormat="1" applyFont="1" applyFill="1" applyBorder="1" applyAlignment="1">
      <alignment horizontal="center" vertical="center" wrapText="1" readingOrder="2"/>
    </xf>
    <xf numFmtId="3" fontId="12" fillId="12" borderId="1" xfId="0" applyNumberFormat="1" applyFont="1" applyFill="1" applyBorder="1" applyAlignment="1">
      <alignment horizontal="center" vertical="center" wrapText="1" readingOrder="2"/>
    </xf>
    <xf numFmtId="3" fontId="12" fillId="7" borderId="1" xfId="0" applyNumberFormat="1" applyFont="1" applyFill="1" applyBorder="1" applyAlignment="1">
      <alignment horizontal="center" vertical="center" wrapText="1" readingOrder="2"/>
    </xf>
    <xf numFmtId="3" fontId="5" fillId="7" borderId="1" xfId="0" applyNumberFormat="1" applyFont="1" applyFill="1" applyBorder="1" applyAlignment="1">
      <alignment horizontal="center" vertical="top" wrapText="1" readingOrder="2"/>
    </xf>
    <xf numFmtId="0" fontId="5" fillId="5" borderId="1" xfId="0" applyFont="1" applyFill="1" applyBorder="1" applyAlignment="1">
      <alignment horizontal="center" vertical="top" wrapText="1" readingOrder="2"/>
    </xf>
    <xf numFmtId="0" fontId="5" fillId="10" borderId="4" xfId="0" applyFont="1" applyFill="1" applyBorder="1" applyAlignment="1">
      <alignment horizontal="center" vertical="center" readingOrder="2"/>
    </xf>
    <xf numFmtId="3" fontId="5" fillId="5" borderId="1" xfId="0" applyNumberFormat="1" applyFont="1" applyFill="1" applyBorder="1" applyAlignment="1">
      <alignment horizontal="center" vertical="top" wrapText="1" readingOrder="2"/>
    </xf>
    <xf numFmtId="0" fontId="0" fillId="0" borderId="0" xfId="0" applyAlignment="1"/>
    <xf numFmtId="0" fontId="0" fillId="2" borderId="0" xfId="0" applyFill="1"/>
    <xf numFmtId="0" fontId="17" fillId="3" borderId="1" xfId="1" applyFont="1" applyFill="1" applyBorder="1" applyAlignment="1">
      <alignment horizontal="center" vertical="center" wrapText="1"/>
    </xf>
    <xf numFmtId="43" fontId="17" fillId="3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43" fontId="18" fillId="0" borderId="0" xfId="2" applyFont="1"/>
    <xf numFmtId="0" fontId="19" fillId="15" borderId="1" xfId="0" applyFont="1" applyFill="1" applyBorder="1" applyAlignment="1">
      <alignment horizontal="center" vertical="center" readingOrder="2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1" xfId="0" applyFont="1" applyBorder="1"/>
    <xf numFmtId="166" fontId="20" fillId="0" borderId="1" xfId="2" applyNumberFormat="1" applyFont="1" applyBorder="1"/>
    <xf numFmtId="166" fontId="21" fillId="0" borderId="1" xfId="2" applyNumberFormat="1" applyFont="1" applyFill="1" applyBorder="1" applyAlignment="1">
      <alignment horizontal="center" vertical="center" readingOrder="2"/>
    </xf>
    <xf numFmtId="0" fontId="21" fillId="0" borderId="1" xfId="0" applyFont="1" applyFill="1" applyBorder="1" applyAlignment="1">
      <alignment horizontal="center" vertical="center" readingOrder="2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 readingOrder="2"/>
    </xf>
    <xf numFmtId="166" fontId="20" fillId="16" borderId="1" xfId="2" applyNumberFormat="1" applyFont="1" applyFill="1" applyBorder="1"/>
    <xf numFmtId="3" fontId="0" fillId="0" borderId="0" xfId="0" applyNumberFormat="1"/>
    <xf numFmtId="0" fontId="18" fillId="0" borderId="1" xfId="1" applyFont="1" applyBorder="1" applyAlignment="1">
      <alignment horizontal="center" vertical="center"/>
    </xf>
    <xf numFmtId="43" fontId="18" fillId="0" borderId="1" xfId="2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166" fontId="20" fillId="0" borderId="1" xfId="0" applyNumberFormat="1" applyFont="1" applyBorder="1"/>
    <xf numFmtId="164" fontId="20" fillId="0" borderId="0" xfId="0" applyNumberFormat="1" applyFont="1"/>
    <xf numFmtId="0" fontId="19" fillId="15" borderId="1" xfId="0" applyFont="1" applyFill="1" applyBorder="1" applyAlignment="1">
      <alignment horizontal="center" vertical="center"/>
    </xf>
    <xf numFmtId="0" fontId="20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20" fillId="0" borderId="1" xfId="0" applyNumberFormat="1" applyFont="1" applyBorder="1" applyAlignment="1"/>
    <xf numFmtId="0" fontId="20" fillId="12" borderId="1" xfId="0" applyFont="1" applyFill="1" applyBorder="1" applyAlignment="1">
      <alignment horizontal="right" wrapText="1" readingOrder="2"/>
    </xf>
    <xf numFmtId="0" fontId="20" fillId="12" borderId="1" xfId="0" applyFont="1" applyFill="1" applyBorder="1" applyAlignment="1">
      <alignment horizontal="right" readingOrder="2"/>
    </xf>
    <xf numFmtId="0" fontId="20" fillId="12" borderId="6" xfId="0" applyFont="1" applyFill="1" applyBorder="1" applyAlignment="1">
      <alignment horizontal="right" wrapText="1" readingOrder="2"/>
    </xf>
    <xf numFmtId="3" fontId="20" fillId="0" borderId="6" xfId="0" applyNumberFormat="1" applyFont="1" applyBorder="1" applyAlignment="1">
      <alignment horizontal="right" wrapText="1" readingOrder="2"/>
    </xf>
    <xf numFmtId="0" fontId="20" fillId="0" borderId="1" xfId="0" applyFont="1" applyBorder="1" applyAlignment="1">
      <alignment horizontal="right"/>
    </xf>
    <xf numFmtId="0" fontId="20" fillId="12" borderId="6" xfId="0" applyFont="1" applyFill="1" applyBorder="1" applyAlignment="1">
      <alignment horizontal="right" readingOrder="2"/>
    </xf>
    <xf numFmtId="0" fontId="20" fillId="0" borderId="0" xfId="0" applyFont="1" applyAlignment="1">
      <alignment horizontal="right"/>
    </xf>
    <xf numFmtId="0" fontId="20" fillId="0" borderId="6" xfId="0" applyFont="1" applyBorder="1" applyAlignment="1">
      <alignment horizontal="right"/>
    </xf>
    <xf numFmtId="0" fontId="21" fillId="0" borderId="6" xfId="0" applyFont="1" applyFill="1" applyBorder="1" applyAlignment="1">
      <alignment horizontal="right" readingOrder="2"/>
    </xf>
    <xf numFmtId="0" fontId="21" fillId="0" borderId="0" xfId="0" applyFont="1" applyFill="1" applyBorder="1" applyAlignment="1">
      <alignment horizontal="right" readingOrder="2"/>
    </xf>
    <xf numFmtId="0" fontId="20" fillId="16" borderId="6" xfId="0" applyFont="1" applyFill="1" applyBorder="1" applyAlignment="1">
      <alignment horizontal="right"/>
    </xf>
    <xf numFmtId="166" fontId="22" fillId="0" borderId="0" xfId="2" applyNumberFormat="1" applyFont="1"/>
    <xf numFmtId="0" fontId="19" fillId="15" borderId="1" xfId="0" applyFont="1" applyFill="1" applyBorder="1" applyAlignment="1">
      <alignment horizontal="center" readingOrder="2"/>
    </xf>
    <xf numFmtId="0" fontId="21" fillId="0" borderId="6" xfId="0" applyFont="1" applyFill="1" applyBorder="1" applyAlignment="1">
      <alignment horizontal="center" readingOrder="2"/>
    </xf>
    <xf numFmtId="0" fontId="21" fillId="0" borderId="0" xfId="0" applyFont="1" applyFill="1" applyBorder="1" applyAlignment="1">
      <alignment horizontal="center" readingOrder="2"/>
    </xf>
    <xf numFmtId="0" fontId="19" fillId="15" borderId="6" xfId="0" applyFont="1" applyFill="1" applyBorder="1" applyAlignment="1">
      <alignment horizontal="center" readingOrder="2"/>
    </xf>
    <xf numFmtId="0" fontId="23" fillId="5" borderId="1" xfId="0" applyFont="1" applyFill="1" applyBorder="1" applyAlignment="1">
      <alignment horizontal="center" vertical="center" wrapText="1"/>
    </xf>
    <xf numFmtId="167" fontId="23" fillId="5" borderId="1" xfId="2" applyNumberFormat="1" applyFont="1" applyFill="1" applyBorder="1" applyAlignment="1">
      <alignment horizontal="center" vertical="center" wrapText="1"/>
    </xf>
    <xf numFmtId="167" fontId="23" fillId="6" borderId="1" xfId="2" applyNumberFormat="1" applyFont="1" applyFill="1" applyBorder="1" applyAlignment="1">
      <alignment horizontal="center" vertical="center" wrapText="1"/>
    </xf>
    <xf numFmtId="167" fontId="23" fillId="17" borderId="1" xfId="2" applyNumberFormat="1" applyFont="1" applyFill="1" applyBorder="1" applyAlignment="1">
      <alignment horizontal="center" vertical="center" wrapText="1"/>
    </xf>
    <xf numFmtId="167" fontId="23" fillId="7" borderId="1" xfId="2" applyNumberFormat="1" applyFont="1" applyFill="1" applyBorder="1" applyAlignment="1">
      <alignment horizontal="center" vertical="center" wrapText="1"/>
    </xf>
    <xf numFmtId="167" fontId="23" fillId="18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7" fontId="23" fillId="0" borderId="1" xfId="2" applyNumberFormat="1" applyFont="1" applyBorder="1"/>
    <xf numFmtId="167" fontId="23" fillId="6" borderId="1" xfId="2" applyNumberFormat="1" applyFont="1" applyFill="1" applyBorder="1"/>
    <xf numFmtId="167" fontId="23" fillId="17" borderId="1" xfId="2" applyNumberFormat="1" applyFont="1" applyFill="1" applyBorder="1"/>
    <xf numFmtId="167" fontId="23" fillId="7" borderId="1" xfId="2" applyNumberFormat="1" applyFont="1" applyFill="1" applyBorder="1"/>
    <xf numFmtId="167" fontId="23" fillId="18" borderId="1" xfId="2" applyNumberFormat="1" applyFont="1" applyFill="1" applyBorder="1"/>
    <xf numFmtId="0" fontId="0" fillId="0" borderId="0" xfId="0" applyAlignment="1">
      <alignment horizontal="center" vertical="center"/>
    </xf>
    <xf numFmtId="167" fontId="0" fillId="0" borderId="0" xfId="2" applyNumberFormat="1" applyFont="1"/>
    <xf numFmtId="166" fontId="17" fillId="3" borderId="1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Border="1"/>
    <xf numFmtId="166" fontId="18" fillId="0" borderId="0" xfId="2" applyNumberFormat="1" applyFont="1"/>
    <xf numFmtId="166" fontId="16" fillId="0" borderId="0" xfId="2" applyNumberFormat="1" applyFont="1" applyAlignment="1">
      <alignment horizontal="left"/>
    </xf>
    <xf numFmtId="0" fontId="18" fillId="0" borderId="0" xfId="0" applyFont="1" applyAlignment="1" applyProtection="1">
      <alignment wrapText="1"/>
    </xf>
    <xf numFmtId="0" fontId="18" fillId="0" borderId="0" xfId="0" applyFont="1" applyProtection="1"/>
    <xf numFmtId="167" fontId="16" fillId="0" borderId="1" xfId="2" applyNumberFormat="1" applyFont="1" applyBorder="1" applyAlignment="1">
      <alignment horizontal="center" vertical="center" wrapText="1"/>
    </xf>
    <xf numFmtId="167" fontId="22" fillId="0" borderId="1" xfId="2" applyNumberFormat="1" applyFont="1" applyBorder="1"/>
    <xf numFmtId="0" fontId="20" fillId="12" borderId="1" xfId="0" applyFont="1" applyFill="1" applyBorder="1" applyAlignment="1">
      <alignment vertical="top" wrapText="1" readingOrder="2"/>
    </xf>
    <xf numFmtId="0" fontId="20" fillId="12" borderId="1" xfId="0" applyFont="1" applyFill="1" applyBorder="1" applyAlignment="1">
      <alignment horizontal="right" vertical="top" wrapText="1" readingOrder="2"/>
    </xf>
    <xf numFmtId="166" fontId="24" fillId="0" borderId="1" xfId="0" applyNumberFormat="1" applyFont="1" applyBorder="1"/>
    <xf numFmtId="0" fontId="20" fillId="12" borderId="6" xfId="0" applyFont="1" applyFill="1" applyBorder="1" applyAlignment="1">
      <alignment horizontal="right" vertical="top" readingOrder="2"/>
    </xf>
    <xf numFmtId="166" fontId="20" fillId="0" borderId="1" xfId="2" applyNumberFormat="1" applyFont="1" applyBorder="1" applyAlignment="1"/>
    <xf numFmtId="3" fontId="20" fillId="0" borderId="1" xfId="0" applyNumberFormat="1" applyFont="1" applyBorder="1" applyAlignment="1">
      <alignment horizontal="right" vertical="center" wrapText="1" readingOrder="2"/>
    </xf>
    <xf numFmtId="3" fontId="12" fillId="4" borderId="4" xfId="0" applyNumberFormat="1" applyFont="1" applyFill="1" applyBorder="1" applyAlignment="1">
      <alignment horizontal="center" vertical="center" wrapText="1" readingOrder="2"/>
    </xf>
    <xf numFmtId="3" fontId="12" fillId="4" borderId="5" xfId="0" applyNumberFormat="1" applyFont="1" applyFill="1" applyBorder="1" applyAlignment="1">
      <alignment horizontal="center" vertical="center" wrapText="1" readingOrder="2"/>
    </xf>
    <xf numFmtId="3" fontId="12" fillId="4" borderId="6" xfId="0" applyNumberFormat="1" applyFont="1" applyFill="1" applyBorder="1" applyAlignment="1">
      <alignment horizontal="center" vertical="center" wrapText="1" readingOrder="2"/>
    </xf>
    <xf numFmtId="3" fontId="12" fillId="4" borderId="7" xfId="0" applyNumberFormat="1" applyFont="1" applyFill="1" applyBorder="1" applyAlignment="1">
      <alignment horizontal="center" vertical="center" wrapText="1" readingOrder="2"/>
    </xf>
    <xf numFmtId="3" fontId="12" fillId="4" borderId="8" xfId="0" applyNumberFormat="1" applyFont="1" applyFill="1" applyBorder="1" applyAlignment="1">
      <alignment horizontal="center" vertical="center" wrapText="1" readingOrder="2"/>
    </xf>
    <xf numFmtId="3" fontId="12" fillId="4" borderId="9" xfId="0" applyNumberFormat="1" applyFont="1" applyFill="1" applyBorder="1" applyAlignment="1">
      <alignment horizontal="center" vertical="center" wrapText="1" readingOrder="2"/>
    </xf>
    <xf numFmtId="3" fontId="12" fillId="5" borderId="10" xfId="0" applyNumberFormat="1" applyFont="1" applyFill="1" applyBorder="1" applyAlignment="1">
      <alignment horizontal="center" vertical="center" wrapText="1" readingOrder="2"/>
    </xf>
    <xf numFmtId="3" fontId="12" fillId="5" borderId="11" xfId="0" applyNumberFormat="1" applyFont="1" applyFill="1" applyBorder="1" applyAlignment="1">
      <alignment horizontal="center" vertical="center" wrapText="1" readingOrder="2"/>
    </xf>
    <xf numFmtId="3" fontId="12" fillId="5" borderId="12" xfId="0" applyNumberFormat="1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5" borderId="5" xfId="0" applyFont="1" applyFill="1" applyBorder="1" applyAlignment="1">
      <alignment horizontal="center" vertical="top" wrapText="1" readingOrder="2"/>
    </xf>
    <xf numFmtId="0" fontId="5" fillId="5" borderId="6" xfId="0" applyFont="1" applyFill="1" applyBorder="1" applyAlignment="1">
      <alignment horizontal="center" vertical="top" wrapText="1" readingOrder="2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tabSelected="1" topLeftCell="A13" workbookViewId="0">
      <selection activeCell="B15" sqref="B15"/>
    </sheetView>
  </sheetViews>
  <sheetFormatPr defaultColWidth="9.140625" defaultRowHeight="15.75" x14ac:dyDescent="0.4"/>
  <cols>
    <col min="1" max="1" width="4.5703125" style="77" bestFit="1" customWidth="1"/>
    <col min="2" max="2" width="99.140625" style="85" bestFit="1" customWidth="1"/>
    <col min="3" max="3" width="14.7109375" style="59" bestFit="1" customWidth="1"/>
    <col min="4" max="4" width="24.28515625" style="59" bestFit="1" customWidth="1"/>
    <col min="5" max="16384" width="9.140625" style="59"/>
  </cols>
  <sheetData>
    <row r="1" spans="1:4" s="58" customFormat="1" x14ac:dyDescent="0.4">
      <c r="A1" s="74" t="s">
        <v>0</v>
      </c>
      <c r="B1" s="91" t="s">
        <v>328</v>
      </c>
      <c r="C1" s="57" t="s">
        <v>363</v>
      </c>
      <c r="D1" s="57" t="s">
        <v>286</v>
      </c>
    </row>
    <row r="2" spans="1:4" ht="18.75" customHeight="1" x14ac:dyDescent="0.4">
      <c r="A2" s="76">
        <v>1</v>
      </c>
      <c r="B2" s="117" t="s">
        <v>372</v>
      </c>
      <c r="C2" s="72">
        <f>tasisat1401end!AH24</f>
        <v>1427172038.0999999</v>
      </c>
      <c r="D2" s="72"/>
    </row>
    <row r="3" spans="1:4" s="75" customFormat="1" x14ac:dyDescent="0.4">
      <c r="A3" s="76">
        <v>2</v>
      </c>
      <c r="B3" s="80" t="s">
        <v>332</v>
      </c>
      <c r="C3" s="78">
        <f>tasisat1401end!AJ24</f>
        <v>387450000</v>
      </c>
      <c r="D3" s="78"/>
    </row>
    <row r="4" spans="1:4" x14ac:dyDescent="0.4">
      <c r="A4" s="76">
        <v>3</v>
      </c>
      <c r="B4" s="79" t="s">
        <v>331</v>
      </c>
      <c r="C4" s="72">
        <f>tasisat1401end!AK24</f>
        <v>108673500</v>
      </c>
      <c r="D4" s="72"/>
    </row>
    <row r="5" spans="1:4" x14ac:dyDescent="0.4">
      <c r="A5" s="76">
        <v>4</v>
      </c>
      <c r="B5" s="79" t="s">
        <v>333</v>
      </c>
      <c r="C5" s="72">
        <f>tasisat1401end!AL24</f>
        <v>37400000</v>
      </c>
      <c r="D5" s="72"/>
    </row>
    <row r="6" spans="1:4" x14ac:dyDescent="0.4">
      <c r="A6" s="76">
        <v>5</v>
      </c>
      <c r="B6" s="118" t="s">
        <v>373</v>
      </c>
      <c r="C6" s="72">
        <f>tasisat1401end!AM24</f>
        <v>66000000</v>
      </c>
      <c r="D6" s="72"/>
    </row>
    <row r="7" spans="1:4" x14ac:dyDescent="0.4">
      <c r="A7" s="76">
        <v>6</v>
      </c>
      <c r="B7" s="118" t="s">
        <v>374</v>
      </c>
      <c r="C7" s="72">
        <f>tasisat1401end!AN24</f>
        <v>22000000</v>
      </c>
      <c r="D7" s="72"/>
    </row>
    <row r="8" spans="1:4" x14ac:dyDescent="0.4">
      <c r="A8" s="76">
        <v>7</v>
      </c>
      <c r="B8" s="79" t="s">
        <v>334</v>
      </c>
      <c r="C8" s="72">
        <f>tasisat1401end!AP24</f>
        <v>300078220</v>
      </c>
      <c r="D8" s="72"/>
    </row>
    <row r="9" spans="1:4" x14ac:dyDescent="0.4">
      <c r="A9" s="76">
        <v>8</v>
      </c>
      <c r="B9" s="83" t="s">
        <v>384</v>
      </c>
      <c r="C9" s="72">
        <f>352000*50*21</f>
        <v>369600000</v>
      </c>
      <c r="D9" s="119" t="s">
        <v>375</v>
      </c>
    </row>
    <row r="10" spans="1:4" x14ac:dyDescent="0.4">
      <c r="A10" s="76">
        <v>9</v>
      </c>
      <c r="B10" s="79" t="s">
        <v>378</v>
      </c>
      <c r="C10" s="72">
        <f>1419418*4/12*21</f>
        <v>9935926</v>
      </c>
      <c r="D10" s="119" t="s">
        <v>376</v>
      </c>
    </row>
    <row r="11" spans="1:4" x14ac:dyDescent="0.4">
      <c r="A11" s="76">
        <v>10</v>
      </c>
      <c r="B11" s="80" t="s">
        <v>389</v>
      </c>
      <c r="C11" s="72">
        <f>1419418*0.35*(365/12)*1.23*1</f>
        <v>18586391.57375</v>
      </c>
      <c r="D11" s="72"/>
    </row>
    <row r="12" spans="1:4" x14ac:dyDescent="0.4">
      <c r="A12" s="76">
        <v>11</v>
      </c>
      <c r="B12" s="84" t="s">
        <v>381</v>
      </c>
      <c r="C12" s="72">
        <f>1393250*6/44*1.4*50*0.3</f>
        <v>3989761.3636363633</v>
      </c>
      <c r="D12" s="119" t="s">
        <v>380</v>
      </c>
    </row>
    <row r="13" spans="1:4" x14ac:dyDescent="0.4">
      <c r="A13" s="76">
        <v>12</v>
      </c>
      <c r="B13" s="86" t="s">
        <v>395</v>
      </c>
      <c r="C13" s="60">
        <v>298000000</v>
      </c>
      <c r="D13" s="60"/>
    </row>
    <row r="14" spans="1:4" s="64" customFormat="1" x14ac:dyDescent="0.4">
      <c r="A14" s="76">
        <v>13</v>
      </c>
      <c r="B14" s="92" t="s">
        <v>281</v>
      </c>
      <c r="C14" s="62">
        <f>SUM(C2:C13)</f>
        <v>3048885837.0373864</v>
      </c>
      <c r="D14" s="62"/>
    </row>
    <row r="15" spans="1:4" s="64" customFormat="1" x14ac:dyDescent="0.4">
      <c r="A15" s="76">
        <v>14</v>
      </c>
      <c r="B15" s="93"/>
      <c r="C15" s="65"/>
      <c r="D15" s="65"/>
    </row>
    <row r="16" spans="1:4" s="58" customFormat="1" x14ac:dyDescent="0.4">
      <c r="A16" s="76">
        <v>15</v>
      </c>
      <c r="B16" s="94" t="s">
        <v>329</v>
      </c>
      <c r="C16" s="57" t="s">
        <v>330</v>
      </c>
      <c r="D16" s="57"/>
    </row>
    <row r="17" spans="1:4" s="75" customFormat="1" x14ac:dyDescent="0.4">
      <c r="A17" s="76">
        <v>16</v>
      </c>
      <c r="B17" s="120" t="s">
        <v>379</v>
      </c>
      <c r="C17" s="121"/>
      <c r="D17" s="121"/>
    </row>
    <row r="18" spans="1:4" x14ac:dyDescent="0.4">
      <c r="A18" s="76">
        <v>17</v>
      </c>
      <c r="B18" s="120" t="s">
        <v>382</v>
      </c>
      <c r="C18" s="61"/>
      <c r="D18" s="61"/>
    </row>
    <row r="19" spans="1:4" x14ac:dyDescent="0.4">
      <c r="A19" s="76">
        <v>18</v>
      </c>
      <c r="B19" s="120" t="s">
        <v>390</v>
      </c>
      <c r="C19" s="61"/>
      <c r="D19" s="61"/>
    </row>
    <row r="20" spans="1:4" x14ac:dyDescent="0.4">
      <c r="A20" s="76">
        <v>19</v>
      </c>
      <c r="B20" s="81" t="s">
        <v>214</v>
      </c>
      <c r="C20" s="61"/>
      <c r="D20" s="61"/>
    </row>
    <row r="21" spans="1:4" x14ac:dyDescent="0.4">
      <c r="A21" s="76">
        <v>20</v>
      </c>
      <c r="B21" s="81" t="s">
        <v>215</v>
      </c>
      <c r="C21" s="61"/>
      <c r="D21" s="61"/>
    </row>
    <row r="22" spans="1:4" x14ac:dyDescent="0.4">
      <c r="A22" s="76">
        <v>21</v>
      </c>
      <c r="B22" s="81" t="s">
        <v>216</v>
      </c>
      <c r="C22" s="61"/>
      <c r="D22" s="61"/>
    </row>
    <row r="23" spans="1:4" x14ac:dyDescent="0.4">
      <c r="A23" s="76">
        <v>22</v>
      </c>
      <c r="B23" s="81" t="s">
        <v>218</v>
      </c>
      <c r="C23" s="61"/>
      <c r="D23" s="61"/>
    </row>
    <row r="24" spans="1:4" x14ac:dyDescent="0.4">
      <c r="A24" s="76">
        <v>23</v>
      </c>
      <c r="B24" s="81" t="s">
        <v>385</v>
      </c>
      <c r="C24" s="61"/>
      <c r="D24" s="61"/>
    </row>
    <row r="25" spans="1:4" x14ac:dyDescent="0.4">
      <c r="A25" s="76">
        <v>24</v>
      </c>
      <c r="B25" s="81" t="s">
        <v>394</v>
      </c>
      <c r="C25" s="61"/>
      <c r="D25" s="61"/>
    </row>
    <row r="26" spans="1:4" x14ac:dyDescent="0.4">
      <c r="A26" s="76">
        <v>25</v>
      </c>
      <c r="B26" s="81" t="s">
        <v>393</v>
      </c>
      <c r="C26" s="61"/>
      <c r="D26" s="61"/>
    </row>
    <row r="27" spans="1:4" x14ac:dyDescent="0.4">
      <c r="A27" s="76">
        <v>26</v>
      </c>
      <c r="B27" s="81" t="s">
        <v>392</v>
      </c>
      <c r="C27" s="61"/>
      <c r="D27" s="61"/>
    </row>
    <row r="28" spans="1:4" x14ac:dyDescent="0.4">
      <c r="A28" s="76">
        <v>27</v>
      </c>
      <c r="B28" s="81" t="s">
        <v>391</v>
      </c>
      <c r="C28" s="61"/>
      <c r="D28" s="61"/>
    </row>
    <row r="29" spans="1:4" x14ac:dyDescent="0.4">
      <c r="A29" s="76">
        <v>28</v>
      </c>
      <c r="B29" s="82" t="s">
        <v>386</v>
      </c>
      <c r="C29" s="61"/>
      <c r="D29" s="61"/>
    </row>
    <row r="30" spans="1:4" x14ac:dyDescent="0.4">
      <c r="A30" s="76">
        <v>29</v>
      </c>
      <c r="B30" s="82" t="s">
        <v>387</v>
      </c>
      <c r="C30" s="61"/>
      <c r="D30" s="61"/>
    </row>
    <row r="31" spans="1:4" x14ac:dyDescent="0.4">
      <c r="A31" s="76">
        <v>30</v>
      </c>
      <c r="B31" s="82"/>
      <c r="C31" s="61"/>
      <c r="D31" s="61"/>
    </row>
    <row r="32" spans="1:4" x14ac:dyDescent="0.4">
      <c r="A32" s="76">
        <v>31</v>
      </c>
      <c r="B32" s="82"/>
      <c r="C32" s="61"/>
      <c r="D32" s="61"/>
    </row>
    <row r="33" spans="1:4" x14ac:dyDescent="0.4">
      <c r="A33" s="76">
        <v>32</v>
      </c>
      <c r="B33" s="82"/>
      <c r="C33" s="61"/>
      <c r="D33" s="61"/>
    </row>
    <row r="34" spans="1:4" s="64" customFormat="1" x14ac:dyDescent="0.4">
      <c r="A34" s="76">
        <v>33</v>
      </c>
      <c r="B34" s="92" t="s">
        <v>282</v>
      </c>
      <c r="C34" s="62">
        <f>SUM(C17:C33)</f>
        <v>0</v>
      </c>
      <c r="D34" s="62"/>
    </row>
    <row r="35" spans="1:4" s="64" customFormat="1" x14ac:dyDescent="0.4">
      <c r="A35" s="76">
        <v>34</v>
      </c>
      <c r="B35" s="88"/>
      <c r="C35" s="65"/>
      <c r="D35" s="65"/>
    </row>
    <row r="36" spans="1:4" s="64" customFormat="1" x14ac:dyDescent="0.4">
      <c r="A36" s="76">
        <v>35</v>
      </c>
      <c r="B36" s="87"/>
      <c r="C36" s="63"/>
      <c r="D36" s="63"/>
    </row>
    <row r="37" spans="1:4" s="64" customFormat="1" x14ac:dyDescent="0.4">
      <c r="A37" s="76">
        <v>36</v>
      </c>
      <c r="B37" s="88"/>
      <c r="C37" s="65"/>
      <c r="D37" s="65"/>
    </row>
    <row r="38" spans="1:4" s="64" customFormat="1" x14ac:dyDescent="0.4">
      <c r="A38" s="76">
        <v>37</v>
      </c>
      <c r="B38" s="92" t="s">
        <v>341</v>
      </c>
      <c r="C38" s="62"/>
      <c r="D38" s="62"/>
    </row>
    <row r="39" spans="1:4" s="64" customFormat="1" x14ac:dyDescent="0.4">
      <c r="A39" s="76">
        <v>38</v>
      </c>
      <c r="B39" s="88"/>
      <c r="C39" s="65"/>
      <c r="D39" s="65"/>
    </row>
    <row r="40" spans="1:4" x14ac:dyDescent="0.4">
      <c r="A40" s="76">
        <v>39</v>
      </c>
      <c r="B40" s="89" t="s">
        <v>383</v>
      </c>
      <c r="C40" s="66">
        <f>C14+C34+C38</f>
        <v>3048885837.0373864</v>
      </c>
      <c r="D40" s="66"/>
    </row>
    <row r="41" spans="1:4" x14ac:dyDescent="0.4">
      <c r="A41" s="76">
        <v>40</v>
      </c>
      <c r="B41" s="85" t="s">
        <v>367</v>
      </c>
      <c r="C41" s="73"/>
      <c r="D41" s="73"/>
    </row>
    <row r="42" spans="1:4" ht="15.75" customHeight="1" x14ac:dyDescent="0.4">
      <c r="A42" s="76">
        <v>41</v>
      </c>
      <c r="B42" s="122" t="s">
        <v>342</v>
      </c>
      <c r="C42" s="122"/>
    </row>
    <row r="43" spans="1:4" ht="15.75" customHeight="1" x14ac:dyDescent="0.4">
      <c r="A43" s="76">
        <v>42</v>
      </c>
      <c r="B43" s="122" t="s">
        <v>388</v>
      </c>
      <c r="C43" s="122"/>
    </row>
    <row r="44" spans="1:4" x14ac:dyDescent="0.4">
      <c r="A44" s="76">
        <v>43</v>
      </c>
      <c r="B44" s="122" t="s">
        <v>343</v>
      </c>
      <c r="C44" s="122"/>
    </row>
    <row r="45" spans="1:4" x14ac:dyDescent="0.4">
      <c r="A45" s="76">
        <v>44</v>
      </c>
      <c r="B45" s="122" t="s">
        <v>242</v>
      </c>
      <c r="C45" s="122"/>
    </row>
    <row r="46" spans="1:4" ht="17.25" x14ac:dyDescent="0.4">
      <c r="B46" s="90"/>
      <c r="C46"/>
      <c r="D46"/>
    </row>
    <row r="47" spans="1:4" ht="17.25" x14ac:dyDescent="0.4">
      <c r="B47" s="85" t="s">
        <v>344</v>
      </c>
      <c r="C47"/>
      <c r="D47" s="112"/>
    </row>
  </sheetData>
  <sheetProtection formatCells="0" formatColumns="0" formatRows="0" insertColumns="0" insertRows="0" insertHyperlinks="0" deleteColumns="0" deleteRows="0" sort="0" autoFilter="0" pivotTables="0"/>
  <mergeCells count="4">
    <mergeCell ref="B44:C44"/>
    <mergeCell ref="B45:C45"/>
    <mergeCell ref="B42:C42"/>
    <mergeCell ref="B43:C43"/>
  </mergeCells>
  <pageMargins left="0.2" right="0.5" top="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rightToLeft="1" topLeftCell="AD1" zoomScale="90" zoomScaleNormal="90" workbookViewId="0">
      <pane ySplit="1" topLeftCell="A2" activePane="bottomLeft" state="frozen"/>
      <selection activeCell="O1" sqref="O1"/>
      <selection pane="bottomLeft" activeCell="AL2" sqref="AL2"/>
    </sheetView>
  </sheetViews>
  <sheetFormatPr defaultRowHeight="15" x14ac:dyDescent="0.25"/>
  <cols>
    <col min="2" max="2" width="9.7109375" hidden="1" customWidth="1"/>
    <col min="3" max="3" width="9.5703125" hidden="1" customWidth="1"/>
    <col min="5" max="5" width="14.140625" bestFit="1" customWidth="1"/>
    <col min="6" max="26" width="9" hidden="1" customWidth="1"/>
    <col min="27" max="27" width="9" customWidth="1"/>
    <col min="28" max="28" width="24.42578125" bestFit="1" customWidth="1"/>
    <col min="29" max="32" width="9" customWidth="1"/>
    <col min="33" max="33" width="15.5703125" bestFit="1" customWidth="1"/>
    <col min="34" max="34" width="12.42578125" bestFit="1" customWidth="1"/>
    <col min="35" max="35" width="9.28515625" bestFit="1" customWidth="1"/>
    <col min="36" max="36" width="11" bestFit="1" customWidth="1"/>
    <col min="37" max="37" width="11.140625" bestFit="1" customWidth="1"/>
    <col min="38" max="38" width="10.140625" bestFit="1" customWidth="1"/>
    <col min="39" max="40" width="12.140625" bestFit="1" customWidth="1"/>
    <col min="41" max="41" width="9.28515625" bestFit="1" customWidth="1"/>
    <col min="42" max="42" width="11" bestFit="1" customWidth="1"/>
    <col min="43" max="43" width="13.140625" bestFit="1" customWidth="1"/>
    <col min="44" max="44" width="9.140625" bestFit="1" customWidth="1"/>
  </cols>
  <sheetData>
    <row r="1" spans="1:45" s="54" customFormat="1" ht="38.25" customHeight="1" x14ac:dyDescent="0.45">
      <c r="A1" s="113" t="s">
        <v>283</v>
      </c>
      <c r="B1" s="52" t="s">
        <v>1</v>
      </c>
      <c r="C1" s="52" t="s">
        <v>7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288</v>
      </c>
      <c r="I1" s="52" t="s">
        <v>6</v>
      </c>
      <c r="J1" s="52" t="s">
        <v>10</v>
      </c>
      <c r="K1" s="52" t="s">
        <v>8</v>
      </c>
      <c r="L1" s="52" t="s">
        <v>9</v>
      </c>
      <c r="M1" s="52" t="s">
        <v>11</v>
      </c>
      <c r="N1" s="52" t="s">
        <v>12</v>
      </c>
      <c r="O1" s="52" t="s">
        <v>13</v>
      </c>
      <c r="P1" s="52" t="s">
        <v>14</v>
      </c>
      <c r="Q1" s="52" t="s">
        <v>15</v>
      </c>
      <c r="R1" s="52" t="s">
        <v>16</v>
      </c>
      <c r="S1" s="52" t="s">
        <v>17</v>
      </c>
      <c r="T1" s="52" t="s">
        <v>18</v>
      </c>
      <c r="U1" s="52" t="s">
        <v>19</v>
      </c>
      <c r="V1" s="52" t="s">
        <v>20</v>
      </c>
      <c r="W1" s="52" t="s">
        <v>21</v>
      </c>
      <c r="X1" s="52" t="s">
        <v>22</v>
      </c>
      <c r="Y1" s="52" t="s">
        <v>23</v>
      </c>
      <c r="Z1" s="52" t="s">
        <v>24</v>
      </c>
      <c r="AA1" s="52" t="s">
        <v>251</v>
      </c>
      <c r="AB1" s="52" t="s">
        <v>249</v>
      </c>
      <c r="AC1" s="109" t="s">
        <v>245</v>
      </c>
      <c r="AD1" s="109" t="s">
        <v>354</v>
      </c>
      <c r="AE1" s="109" t="s">
        <v>364</v>
      </c>
      <c r="AF1" s="109" t="s">
        <v>355</v>
      </c>
      <c r="AG1" s="109" t="s">
        <v>356</v>
      </c>
      <c r="AH1" s="109" t="s">
        <v>357</v>
      </c>
      <c r="AI1" s="109" t="s">
        <v>358</v>
      </c>
      <c r="AJ1" s="109" t="s">
        <v>359</v>
      </c>
      <c r="AK1" s="109" t="s">
        <v>360</v>
      </c>
      <c r="AL1" s="109" t="s">
        <v>370</v>
      </c>
      <c r="AM1" s="115" t="s">
        <v>284</v>
      </c>
      <c r="AN1" s="115" t="s">
        <v>371</v>
      </c>
      <c r="AO1" s="109" t="s">
        <v>361</v>
      </c>
      <c r="AP1" s="109" t="s">
        <v>362</v>
      </c>
      <c r="AQ1" s="53" t="s">
        <v>252</v>
      </c>
      <c r="AR1" s="109" t="s">
        <v>285</v>
      </c>
      <c r="AS1" s="53" t="s">
        <v>286</v>
      </c>
    </row>
    <row r="2" spans="1:45" s="55" customFormat="1" ht="18" x14ac:dyDescent="0.45">
      <c r="A2" s="114" t="s">
        <v>287</v>
      </c>
      <c r="B2" s="68">
        <v>1263366309</v>
      </c>
      <c r="C2" s="68">
        <v>9137425140</v>
      </c>
      <c r="D2" s="68" t="s">
        <v>28</v>
      </c>
      <c r="E2" s="68" t="s">
        <v>29</v>
      </c>
      <c r="F2" s="68" t="s">
        <v>30</v>
      </c>
      <c r="G2" s="68" t="s">
        <v>310</v>
      </c>
      <c r="H2" s="68" t="s">
        <v>25</v>
      </c>
      <c r="I2" s="68">
        <v>5379</v>
      </c>
      <c r="J2" s="68">
        <v>36601080</v>
      </c>
      <c r="K2" s="68" t="s">
        <v>38</v>
      </c>
      <c r="L2" s="68" t="s">
        <v>31</v>
      </c>
      <c r="M2" s="68" t="s">
        <v>26</v>
      </c>
      <c r="N2" s="68" t="s">
        <v>32</v>
      </c>
      <c r="O2" s="68">
        <v>1250309972</v>
      </c>
      <c r="P2" s="68">
        <v>1372</v>
      </c>
      <c r="Q2" s="68">
        <v>1389</v>
      </c>
      <c r="R2" s="68" t="s">
        <v>33</v>
      </c>
      <c r="S2" s="68">
        <v>1251327494</v>
      </c>
      <c r="T2" s="68" t="s">
        <v>247</v>
      </c>
      <c r="U2" s="68" t="s">
        <v>34</v>
      </c>
      <c r="V2" s="68">
        <v>1251590632</v>
      </c>
      <c r="W2" s="68" t="s">
        <v>248</v>
      </c>
      <c r="X2" s="68">
        <v>0</v>
      </c>
      <c r="Y2" s="71">
        <v>0</v>
      </c>
      <c r="Z2" s="71">
        <v>0</v>
      </c>
      <c r="AA2" s="68">
        <v>2</v>
      </c>
      <c r="AB2" s="68" t="s">
        <v>250</v>
      </c>
      <c r="AC2" s="110">
        <v>12</v>
      </c>
      <c r="AD2" s="110">
        <v>1442982.14</v>
      </c>
      <c r="AE2" s="110">
        <v>308176.07999999996</v>
      </c>
      <c r="AF2" s="110">
        <v>72400</v>
      </c>
      <c r="AG2" s="110">
        <f>INT(SUM(AD2:AF2))</f>
        <v>1823558</v>
      </c>
      <c r="AH2" s="110">
        <f>INT(AG2*29)</f>
        <v>52883182</v>
      </c>
      <c r="AI2" s="110">
        <v>8500000</v>
      </c>
      <c r="AJ2" s="110">
        <v>6500000</v>
      </c>
      <c r="AK2" s="110">
        <f t="shared" ref="AK2:AK23" si="0">1393250*3*AA2</f>
        <v>8359500</v>
      </c>
      <c r="AL2" s="110">
        <v>1700000</v>
      </c>
      <c r="AM2" s="116">
        <v>3000000</v>
      </c>
      <c r="AN2" s="116">
        <v>1000000</v>
      </c>
      <c r="AO2" s="110">
        <f t="shared" ref="AO2:AO3" si="1">INT(AG2*60/12)</f>
        <v>9117790</v>
      </c>
      <c r="AP2" s="110">
        <f t="shared" ref="AP2:AP3" si="2">INT(AG2*30/12)</f>
        <v>4558895</v>
      </c>
      <c r="AQ2" s="69">
        <f>AP2+AO2+AN2+AM2+AL2+AK2+AJ2+AI2+AH2</f>
        <v>95619367</v>
      </c>
      <c r="AR2" s="110">
        <f t="shared" ref="AR2:AR23" si="3">INT(AG2*6/44*1.4)</f>
        <v>348133</v>
      </c>
      <c r="AS2" s="70"/>
    </row>
    <row r="3" spans="1:45" s="55" customFormat="1" ht="18" x14ac:dyDescent="0.45">
      <c r="A3" s="114" t="s">
        <v>287</v>
      </c>
      <c r="B3" s="68">
        <v>1262967503</v>
      </c>
      <c r="C3" s="68">
        <v>9134731417</v>
      </c>
      <c r="D3" s="68" t="s">
        <v>35</v>
      </c>
      <c r="E3" s="68" t="s">
        <v>36</v>
      </c>
      <c r="F3" s="68" t="s">
        <v>37</v>
      </c>
      <c r="G3" s="68" t="s">
        <v>289</v>
      </c>
      <c r="H3" s="68" t="s">
        <v>69</v>
      </c>
      <c r="I3" s="68">
        <v>3</v>
      </c>
      <c r="J3" s="68">
        <v>36559099</v>
      </c>
      <c r="K3" s="68" t="s">
        <v>39</v>
      </c>
      <c r="L3" s="68" t="s">
        <v>31</v>
      </c>
      <c r="M3" s="68" t="s">
        <v>26</v>
      </c>
      <c r="N3" s="68" t="s">
        <v>40</v>
      </c>
      <c r="O3" s="68">
        <v>1260499561</v>
      </c>
      <c r="P3" s="68">
        <v>1359</v>
      </c>
      <c r="Q3" s="68">
        <v>1377</v>
      </c>
      <c r="R3" s="68" t="s">
        <v>41</v>
      </c>
      <c r="S3" s="68">
        <v>1250759315</v>
      </c>
      <c r="T3" s="68" t="s">
        <v>260</v>
      </c>
      <c r="U3" s="68" t="s">
        <v>42</v>
      </c>
      <c r="V3" s="68">
        <v>1250895022</v>
      </c>
      <c r="W3" s="68" t="s">
        <v>261</v>
      </c>
      <c r="X3" s="68" t="s">
        <v>43</v>
      </c>
      <c r="Y3" s="71">
        <v>1251550665</v>
      </c>
      <c r="Z3" s="71" t="s">
        <v>262</v>
      </c>
      <c r="AA3" s="68">
        <v>3</v>
      </c>
      <c r="AB3" s="68" t="s">
        <v>259</v>
      </c>
      <c r="AC3" s="110">
        <v>8</v>
      </c>
      <c r="AD3" s="110">
        <v>1419417.26</v>
      </c>
      <c r="AE3" s="110">
        <v>353060.57999999996</v>
      </c>
      <c r="AF3" s="110">
        <v>71400</v>
      </c>
      <c r="AG3" s="110">
        <f t="shared" ref="AG3:AG23" si="4">INT(SUM(AD3:AF3))</f>
        <v>1843877</v>
      </c>
      <c r="AH3" s="110">
        <f t="shared" ref="AH3:AH23" si="5">INT(AG3*29)</f>
        <v>53472433</v>
      </c>
      <c r="AI3" s="110">
        <v>8500000</v>
      </c>
      <c r="AJ3" s="110">
        <v>6500000</v>
      </c>
      <c r="AK3" s="110">
        <f t="shared" si="0"/>
        <v>12539250</v>
      </c>
      <c r="AL3" s="110">
        <v>1700000</v>
      </c>
      <c r="AM3" s="116">
        <v>3000000</v>
      </c>
      <c r="AN3" s="116">
        <v>1000000</v>
      </c>
      <c r="AO3" s="110">
        <f t="shared" si="1"/>
        <v>9219385</v>
      </c>
      <c r="AP3" s="110">
        <f t="shared" si="2"/>
        <v>4609692</v>
      </c>
      <c r="AQ3" s="69">
        <f t="shared" ref="AQ3:AQ23" si="6">AP3+AO3+AN3+AM3+AL3+AK3+AJ3+AI3+AH3</f>
        <v>100540760</v>
      </c>
      <c r="AR3" s="110">
        <f t="shared" si="3"/>
        <v>352012</v>
      </c>
      <c r="AS3" s="70"/>
    </row>
    <row r="4" spans="1:45" s="55" customFormat="1" ht="18" x14ac:dyDescent="0.45">
      <c r="A4" s="114" t="s">
        <v>287</v>
      </c>
      <c r="B4" s="68">
        <v>1250161071</v>
      </c>
      <c r="C4" s="68">
        <v>9130238725</v>
      </c>
      <c r="D4" s="68" t="s">
        <v>44</v>
      </c>
      <c r="E4" s="68" t="s">
        <v>45</v>
      </c>
      <c r="F4" s="68" t="s">
        <v>46</v>
      </c>
      <c r="G4" s="68" t="s">
        <v>290</v>
      </c>
      <c r="H4" s="68" t="s">
        <v>69</v>
      </c>
      <c r="I4" s="68">
        <v>1250161071</v>
      </c>
      <c r="J4" s="68">
        <v>36618966</v>
      </c>
      <c r="K4" s="68" t="s">
        <v>39</v>
      </c>
      <c r="L4" s="68" t="s">
        <v>47</v>
      </c>
      <c r="M4" s="68" t="s">
        <v>26</v>
      </c>
      <c r="N4" s="68" t="s">
        <v>48</v>
      </c>
      <c r="O4" s="68">
        <v>25033832</v>
      </c>
      <c r="P4" s="68">
        <v>1381</v>
      </c>
      <c r="Q4" s="68">
        <v>1398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71">
        <v>0</v>
      </c>
      <c r="Z4" s="71">
        <v>0</v>
      </c>
      <c r="AA4" s="68">
        <v>0</v>
      </c>
      <c r="AB4" s="68" t="s">
        <v>263</v>
      </c>
      <c r="AC4" s="110">
        <v>8</v>
      </c>
      <c r="AD4" s="110">
        <v>1419417.26</v>
      </c>
      <c r="AE4" s="110">
        <v>291098.57999999996</v>
      </c>
      <c r="AF4" s="110">
        <v>71400</v>
      </c>
      <c r="AG4" s="110">
        <f t="shared" si="4"/>
        <v>1781915</v>
      </c>
      <c r="AH4" s="110">
        <f t="shared" si="5"/>
        <v>51675535</v>
      </c>
      <c r="AI4" s="110">
        <v>8500000</v>
      </c>
      <c r="AJ4" s="110">
        <v>6500000</v>
      </c>
      <c r="AK4" s="110">
        <f t="shared" si="0"/>
        <v>0</v>
      </c>
      <c r="AL4" s="110">
        <v>1700000</v>
      </c>
      <c r="AM4" s="116">
        <v>3000000</v>
      </c>
      <c r="AN4" s="116">
        <v>1000000</v>
      </c>
      <c r="AO4" s="110">
        <f t="shared" ref="AO4:AO23" si="7">INT(AG4*60/12)</f>
        <v>8909575</v>
      </c>
      <c r="AP4" s="110">
        <f t="shared" ref="AP4:AP23" si="8">INT(AG4*30/12)</f>
        <v>4454787</v>
      </c>
      <c r="AQ4" s="69">
        <f t="shared" si="6"/>
        <v>85739897</v>
      </c>
      <c r="AR4" s="110">
        <f t="shared" si="3"/>
        <v>340183</v>
      </c>
      <c r="AS4" s="70"/>
    </row>
    <row r="5" spans="1:45" s="55" customFormat="1" ht="18" x14ac:dyDescent="0.45">
      <c r="A5" s="114" t="s">
        <v>287</v>
      </c>
      <c r="B5" s="68">
        <v>56072856</v>
      </c>
      <c r="C5" s="68">
        <v>9131638325</v>
      </c>
      <c r="D5" s="68" t="s">
        <v>51</v>
      </c>
      <c r="E5" s="68" t="s">
        <v>312</v>
      </c>
      <c r="F5" s="68" t="s">
        <v>52</v>
      </c>
      <c r="G5" s="68" t="s">
        <v>291</v>
      </c>
      <c r="H5" s="68" t="s">
        <v>53</v>
      </c>
      <c r="I5" s="68">
        <v>4311</v>
      </c>
      <c r="J5" s="68">
        <v>36546339</v>
      </c>
      <c r="K5" s="68" t="s">
        <v>39</v>
      </c>
      <c r="L5" s="68" t="s">
        <v>128</v>
      </c>
      <c r="M5" s="68" t="s">
        <v>26</v>
      </c>
      <c r="N5" s="68" t="s">
        <v>54</v>
      </c>
      <c r="O5" s="68">
        <v>1261849541</v>
      </c>
      <c r="P5" s="68">
        <v>1354</v>
      </c>
      <c r="Q5" s="68">
        <v>1373</v>
      </c>
      <c r="R5" s="68" t="s">
        <v>56</v>
      </c>
      <c r="S5" s="68">
        <v>1250666112</v>
      </c>
      <c r="T5" s="68" t="s">
        <v>264</v>
      </c>
      <c r="U5" s="68">
        <v>0</v>
      </c>
      <c r="V5" s="68">
        <v>0</v>
      </c>
      <c r="W5" s="68">
        <v>0</v>
      </c>
      <c r="X5" s="68">
        <v>0</v>
      </c>
      <c r="Y5" s="71">
        <v>0</v>
      </c>
      <c r="Z5" s="71">
        <v>0</v>
      </c>
      <c r="AA5" s="68">
        <v>1</v>
      </c>
      <c r="AB5" s="68" t="s">
        <v>259</v>
      </c>
      <c r="AC5" s="110">
        <v>8</v>
      </c>
      <c r="AD5" s="110">
        <v>1419417.26</v>
      </c>
      <c r="AE5" s="110">
        <v>353060.57999999996</v>
      </c>
      <c r="AF5" s="110">
        <v>71400</v>
      </c>
      <c r="AG5" s="110">
        <f t="shared" si="4"/>
        <v>1843877</v>
      </c>
      <c r="AH5" s="110">
        <f t="shared" si="5"/>
        <v>53472433</v>
      </c>
      <c r="AI5" s="110">
        <v>8500000</v>
      </c>
      <c r="AJ5" s="110">
        <v>6500000</v>
      </c>
      <c r="AK5" s="110">
        <f t="shared" si="0"/>
        <v>4179750</v>
      </c>
      <c r="AL5" s="110">
        <v>1700000</v>
      </c>
      <c r="AM5" s="116">
        <v>3000000</v>
      </c>
      <c r="AN5" s="116">
        <v>1000000</v>
      </c>
      <c r="AO5" s="110">
        <f t="shared" si="7"/>
        <v>9219385</v>
      </c>
      <c r="AP5" s="110">
        <f t="shared" si="8"/>
        <v>4609692</v>
      </c>
      <c r="AQ5" s="69">
        <f t="shared" si="6"/>
        <v>92181260</v>
      </c>
      <c r="AR5" s="110">
        <f t="shared" si="3"/>
        <v>352012</v>
      </c>
      <c r="AS5" s="70"/>
    </row>
    <row r="6" spans="1:45" s="55" customFormat="1" ht="18" x14ac:dyDescent="0.45">
      <c r="A6" s="114" t="s">
        <v>287</v>
      </c>
      <c r="B6" s="68">
        <v>58006834</v>
      </c>
      <c r="C6" s="68">
        <v>9137887513</v>
      </c>
      <c r="D6" s="68" t="s">
        <v>59</v>
      </c>
      <c r="E6" s="68" t="s">
        <v>60</v>
      </c>
      <c r="F6" s="68" t="s">
        <v>61</v>
      </c>
      <c r="G6" s="68" t="s">
        <v>292</v>
      </c>
      <c r="H6" s="68" t="s">
        <v>53</v>
      </c>
      <c r="I6" s="68">
        <v>12223</v>
      </c>
      <c r="J6" s="68">
        <v>36567072</v>
      </c>
      <c r="K6" s="68" t="s">
        <v>62</v>
      </c>
      <c r="L6" s="68" t="s">
        <v>63</v>
      </c>
      <c r="M6" s="68" t="s">
        <v>26</v>
      </c>
      <c r="N6" s="68" t="s">
        <v>64</v>
      </c>
      <c r="O6" s="68">
        <v>2754434631</v>
      </c>
      <c r="P6" s="68">
        <v>1362</v>
      </c>
      <c r="Q6" s="68">
        <v>1379</v>
      </c>
      <c r="R6" s="68" t="s">
        <v>65</v>
      </c>
      <c r="S6" s="68">
        <v>1250732670</v>
      </c>
      <c r="T6" s="68" t="s">
        <v>279</v>
      </c>
      <c r="U6" s="68"/>
      <c r="V6" s="68"/>
      <c r="W6" s="68"/>
      <c r="X6" s="68"/>
      <c r="Y6" s="71"/>
      <c r="Z6" s="71"/>
      <c r="AA6" s="68">
        <v>1</v>
      </c>
      <c r="AB6" s="68" t="s">
        <v>275</v>
      </c>
      <c r="AC6" s="110">
        <v>13</v>
      </c>
      <c r="AD6" s="110">
        <v>1449472.2799999998</v>
      </c>
      <c r="AE6" s="110">
        <v>377860.56</v>
      </c>
      <c r="AF6" s="110">
        <v>72800</v>
      </c>
      <c r="AG6" s="110">
        <f t="shared" si="4"/>
        <v>1900132</v>
      </c>
      <c r="AH6" s="110">
        <f t="shared" si="5"/>
        <v>55103828</v>
      </c>
      <c r="AI6" s="110">
        <v>8500000</v>
      </c>
      <c r="AJ6" s="110">
        <v>6500000</v>
      </c>
      <c r="AK6" s="110">
        <f t="shared" si="0"/>
        <v>4179750</v>
      </c>
      <c r="AL6" s="110">
        <v>1700000</v>
      </c>
      <c r="AM6" s="116">
        <v>3000000</v>
      </c>
      <c r="AN6" s="116">
        <v>1000000</v>
      </c>
      <c r="AO6" s="110">
        <f t="shared" si="7"/>
        <v>9500660</v>
      </c>
      <c r="AP6" s="110">
        <f t="shared" si="8"/>
        <v>4750330</v>
      </c>
      <c r="AQ6" s="69">
        <f t="shared" si="6"/>
        <v>94234568</v>
      </c>
      <c r="AR6" s="110">
        <f t="shared" si="3"/>
        <v>362752</v>
      </c>
      <c r="AS6" s="70"/>
    </row>
    <row r="7" spans="1:45" s="55" customFormat="1" ht="18" x14ac:dyDescent="0.45">
      <c r="A7" s="114" t="s">
        <v>287</v>
      </c>
      <c r="B7" s="68">
        <v>1260716971</v>
      </c>
      <c r="C7" s="68">
        <v>9186432415</v>
      </c>
      <c r="D7" s="68" t="s">
        <v>55</v>
      </c>
      <c r="E7" s="68" t="s">
        <v>66</v>
      </c>
      <c r="F7" s="68" t="s">
        <v>67</v>
      </c>
      <c r="G7" s="68" t="s">
        <v>293</v>
      </c>
      <c r="H7" s="68" t="s">
        <v>68</v>
      </c>
      <c r="I7" s="68">
        <v>1097</v>
      </c>
      <c r="J7" s="68">
        <v>76412565</v>
      </c>
      <c r="K7" s="68" t="s">
        <v>39</v>
      </c>
      <c r="L7" s="68" t="s">
        <v>313</v>
      </c>
      <c r="M7" s="68" t="s">
        <v>26</v>
      </c>
      <c r="N7" s="68" t="s">
        <v>70</v>
      </c>
      <c r="O7" s="68">
        <v>1262677351</v>
      </c>
      <c r="P7" s="68">
        <v>1360</v>
      </c>
      <c r="Q7" s="68">
        <v>1381</v>
      </c>
      <c r="R7" s="68" t="s">
        <v>71</v>
      </c>
      <c r="S7" s="68">
        <v>570109991</v>
      </c>
      <c r="T7" s="68" t="s">
        <v>254</v>
      </c>
      <c r="U7" s="68">
        <v>0</v>
      </c>
      <c r="V7" s="68">
        <v>0</v>
      </c>
      <c r="W7" s="68">
        <v>0</v>
      </c>
      <c r="X7" s="68">
        <v>0</v>
      </c>
      <c r="Y7" s="71">
        <v>0</v>
      </c>
      <c r="Z7" s="71">
        <v>0</v>
      </c>
      <c r="AA7" s="68">
        <v>1</v>
      </c>
      <c r="AB7" s="68" t="s">
        <v>253</v>
      </c>
      <c r="AC7" s="110">
        <v>7</v>
      </c>
      <c r="AD7" s="110">
        <v>1414866.02</v>
      </c>
      <c r="AE7" s="110">
        <v>349518.12</v>
      </c>
      <c r="AF7" s="110">
        <v>71200</v>
      </c>
      <c r="AG7" s="110">
        <f t="shared" si="4"/>
        <v>1835584</v>
      </c>
      <c r="AH7" s="110">
        <f t="shared" si="5"/>
        <v>53231936</v>
      </c>
      <c r="AI7" s="110">
        <v>8500000</v>
      </c>
      <c r="AJ7" s="110">
        <v>6500000</v>
      </c>
      <c r="AK7" s="110">
        <f t="shared" si="0"/>
        <v>4179750</v>
      </c>
      <c r="AL7" s="110">
        <v>1700000</v>
      </c>
      <c r="AM7" s="116">
        <v>3000000</v>
      </c>
      <c r="AN7" s="116">
        <v>1000000</v>
      </c>
      <c r="AO7" s="110">
        <f t="shared" si="7"/>
        <v>9177920</v>
      </c>
      <c r="AP7" s="110">
        <f t="shared" si="8"/>
        <v>4588960</v>
      </c>
      <c r="AQ7" s="69">
        <f t="shared" si="6"/>
        <v>91878566</v>
      </c>
      <c r="AR7" s="110">
        <f t="shared" si="3"/>
        <v>350429</v>
      </c>
      <c r="AS7" s="70"/>
    </row>
    <row r="8" spans="1:45" s="55" customFormat="1" ht="18" x14ac:dyDescent="0.45">
      <c r="A8" s="114" t="s">
        <v>287</v>
      </c>
      <c r="B8" s="68">
        <v>1261148861</v>
      </c>
      <c r="C8" s="68">
        <v>9136935118</v>
      </c>
      <c r="D8" s="68" t="s">
        <v>67</v>
      </c>
      <c r="E8" s="68" t="s">
        <v>72</v>
      </c>
      <c r="F8" s="68" t="s">
        <v>73</v>
      </c>
      <c r="G8" s="68" t="s">
        <v>294</v>
      </c>
      <c r="H8" s="68" t="s">
        <v>74</v>
      </c>
      <c r="I8" s="68">
        <v>858</v>
      </c>
      <c r="J8" s="68">
        <v>36565022</v>
      </c>
      <c r="K8" s="68" t="s">
        <v>127</v>
      </c>
      <c r="L8" s="68" t="s">
        <v>49</v>
      </c>
      <c r="M8" s="68" t="s">
        <v>26</v>
      </c>
      <c r="N8" s="68" t="s">
        <v>75</v>
      </c>
      <c r="O8" s="68">
        <v>1263588166</v>
      </c>
      <c r="P8" s="68">
        <v>1366</v>
      </c>
      <c r="Q8" s="68">
        <v>1384</v>
      </c>
      <c r="R8" s="68" t="s">
        <v>34</v>
      </c>
      <c r="S8" s="68">
        <v>1251018998</v>
      </c>
      <c r="T8" s="68" t="s">
        <v>271</v>
      </c>
      <c r="U8" s="68"/>
      <c r="V8" s="68"/>
      <c r="W8" s="68"/>
      <c r="X8" s="68"/>
      <c r="Y8" s="71"/>
      <c r="Z8" s="71"/>
      <c r="AA8" s="68">
        <v>1</v>
      </c>
      <c r="AB8" s="68" t="s">
        <v>259</v>
      </c>
      <c r="AC8" s="110">
        <v>9</v>
      </c>
      <c r="AD8" s="110">
        <v>1424597.7799999998</v>
      </c>
      <c r="AE8" s="110">
        <v>356603.04</v>
      </c>
      <c r="AF8" s="110">
        <v>71600</v>
      </c>
      <c r="AG8" s="110">
        <f t="shared" si="4"/>
        <v>1852800</v>
      </c>
      <c r="AH8" s="110">
        <f t="shared" si="5"/>
        <v>53731200</v>
      </c>
      <c r="AI8" s="110">
        <v>8500000</v>
      </c>
      <c r="AJ8" s="110">
        <v>6500000</v>
      </c>
      <c r="AK8" s="110">
        <f t="shared" si="0"/>
        <v>4179750</v>
      </c>
      <c r="AL8" s="110">
        <v>1700000</v>
      </c>
      <c r="AM8" s="116">
        <v>3000000</v>
      </c>
      <c r="AN8" s="116">
        <v>1000000</v>
      </c>
      <c r="AO8" s="110">
        <f t="shared" si="7"/>
        <v>9264000</v>
      </c>
      <c r="AP8" s="110">
        <f t="shared" si="8"/>
        <v>4632000</v>
      </c>
      <c r="AQ8" s="69">
        <f t="shared" si="6"/>
        <v>92506950</v>
      </c>
      <c r="AR8" s="110">
        <f t="shared" si="3"/>
        <v>353716</v>
      </c>
      <c r="AS8" s="70"/>
    </row>
    <row r="9" spans="1:45" s="55" customFormat="1" ht="18" x14ac:dyDescent="0.45">
      <c r="A9" s="114" t="s">
        <v>287</v>
      </c>
      <c r="B9" s="68">
        <v>1250064074</v>
      </c>
      <c r="C9" s="68">
        <v>9137423640</v>
      </c>
      <c r="D9" s="68" t="s">
        <v>79</v>
      </c>
      <c r="E9" s="68" t="s">
        <v>80</v>
      </c>
      <c r="F9" s="68" t="s">
        <v>81</v>
      </c>
      <c r="G9" s="68" t="s">
        <v>311</v>
      </c>
      <c r="H9" s="68" t="s">
        <v>82</v>
      </c>
      <c r="I9" s="68">
        <v>1250064074</v>
      </c>
      <c r="J9" s="68">
        <v>36614890</v>
      </c>
      <c r="K9" s="68" t="s">
        <v>83</v>
      </c>
      <c r="L9" s="68" t="s">
        <v>84</v>
      </c>
      <c r="M9" s="68" t="s">
        <v>26</v>
      </c>
      <c r="N9" s="68" t="s">
        <v>85</v>
      </c>
      <c r="O9" s="68">
        <v>1250138981</v>
      </c>
      <c r="P9" s="68">
        <v>1369</v>
      </c>
      <c r="Q9" s="68">
        <v>1394</v>
      </c>
      <c r="R9" s="68" t="s">
        <v>37</v>
      </c>
      <c r="S9" s="68">
        <v>1251500821</v>
      </c>
      <c r="T9" s="68" t="s">
        <v>265</v>
      </c>
      <c r="U9" s="68"/>
      <c r="V9" s="68"/>
      <c r="W9" s="68"/>
      <c r="X9" s="68"/>
      <c r="Y9" s="71"/>
      <c r="Z9" s="71"/>
      <c r="AA9" s="68">
        <v>1</v>
      </c>
      <c r="AB9" s="68" t="s">
        <v>263</v>
      </c>
      <c r="AC9" s="110">
        <v>8</v>
      </c>
      <c r="AD9" s="110">
        <v>1419417.26</v>
      </c>
      <c r="AE9" s="110">
        <v>263160.48</v>
      </c>
      <c r="AF9" s="110">
        <v>71400</v>
      </c>
      <c r="AG9" s="110">
        <f t="shared" si="4"/>
        <v>1753977</v>
      </c>
      <c r="AH9" s="110">
        <f t="shared" si="5"/>
        <v>50865333</v>
      </c>
      <c r="AI9" s="110">
        <v>8500000</v>
      </c>
      <c r="AJ9" s="110">
        <v>6500000</v>
      </c>
      <c r="AK9" s="110">
        <f t="shared" si="0"/>
        <v>4179750</v>
      </c>
      <c r="AL9" s="110">
        <v>1700000</v>
      </c>
      <c r="AM9" s="116">
        <v>3000000</v>
      </c>
      <c r="AN9" s="116">
        <v>1000000</v>
      </c>
      <c r="AO9" s="110">
        <f t="shared" si="7"/>
        <v>8769885</v>
      </c>
      <c r="AP9" s="110">
        <f t="shared" si="8"/>
        <v>4384942</v>
      </c>
      <c r="AQ9" s="69">
        <f t="shared" si="6"/>
        <v>88899910</v>
      </c>
      <c r="AR9" s="110">
        <f t="shared" si="3"/>
        <v>334850</v>
      </c>
      <c r="AS9" s="70"/>
    </row>
    <row r="10" spans="1:45" s="55" customFormat="1" ht="18" x14ac:dyDescent="0.45">
      <c r="A10" s="114" t="s">
        <v>287</v>
      </c>
      <c r="B10" s="68">
        <v>6190015751</v>
      </c>
      <c r="C10" s="68">
        <v>9138619014</v>
      </c>
      <c r="D10" s="68" t="s">
        <v>87</v>
      </c>
      <c r="E10" s="68" t="s">
        <v>88</v>
      </c>
      <c r="F10" s="68" t="s">
        <v>78</v>
      </c>
      <c r="G10" s="68" t="s">
        <v>295</v>
      </c>
      <c r="H10" s="68" t="s">
        <v>89</v>
      </c>
      <c r="I10" s="68">
        <v>6190015751</v>
      </c>
      <c r="J10" s="68">
        <v>84105989</v>
      </c>
      <c r="K10" s="68" t="s">
        <v>38</v>
      </c>
      <c r="L10" s="68" t="s">
        <v>57</v>
      </c>
      <c r="M10" s="68" t="s">
        <v>26</v>
      </c>
      <c r="N10" s="68" t="s">
        <v>90</v>
      </c>
      <c r="O10" s="68">
        <v>6190085199</v>
      </c>
      <c r="P10" s="68">
        <v>1377</v>
      </c>
      <c r="Q10" s="68">
        <v>1393</v>
      </c>
      <c r="R10" s="68" t="s">
        <v>91</v>
      </c>
      <c r="S10" s="68">
        <v>6190355668</v>
      </c>
      <c r="T10" s="68" t="s">
        <v>274</v>
      </c>
      <c r="U10" s="68"/>
      <c r="V10" s="68"/>
      <c r="W10" s="68"/>
      <c r="X10" s="68"/>
      <c r="Y10" s="71"/>
      <c r="Z10" s="71"/>
      <c r="AA10" s="68">
        <v>1</v>
      </c>
      <c r="AB10" s="68" t="s">
        <v>273</v>
      </c>
      <c r="AC10" s="110">
        <v>11</v>
      </c>
      <c r="AD10" s="110">
        <v>1436487.8599999999</v>
      </c>
      <c r="AE10" s="110">
        <v>341330.57999999996</v>
      </c>
      <c r="AF10" s="110">
        <v>72000</v>
      </c>
      <c r="AG10" s="110">
        <f t="shared" si="4"/>
        <v>1849818</v>
      </c>
      <c r="AH10" s="110">
        <f t="shared" si="5"/>
        <v>53644722</v>
      </c>
      <c r="AI10" s="110">
        <v>8500000</v>
      </c>
      <c r="AJ10" s="110">
        <v>6500000</v>
      </c>
      <c r="AK10" s="110">
        <f t="shared" si="0"/>
        <v>4179750</v>
      </c>
      <c r="AL10" s="110">
        <v>1700000</v>
      </c>
      <c r="AM10" s="116">
        <v>3000000</v>
      </c>
      <c r="AN10" s="116">
        <v>1000000</v>
      </c>
      <c r="AO10" s="110">
        <f t="shared" si="7"/>
        <v>9249090</v>
      </c>
      <c r="AP10" s="110">
        <f t="shared" si="8"/>
        <v>4624545</v>
      </c>
      <c r="AQ10" s="69">
        <f t="shared" si="6"/>
        <v>92398107</v>
      </c>
      <c r="AR10" s="110">
        <f t="shared" si="3"/>
        <v>353147</v>
      </c>
      <c r="AS10" s="70"/>
    </row>
    <row r="11" spans="1:45" s="55" customFormat="1" ht="18" x14ac:dyDescent="0.45">
      <c r="A11" s="114" t="s">
        <v>287</v>
      </c>
      <c r="B11" s="68">
        <v>6199825098</v>
      </c>
      <c r="C11" s="68">
        <v>9368396011</v>
      </c>
      <c r="D11" s="68" t="s">
        <v>123</v>
      </c>
      <c r="E11" s="68" t="s">
        <v>119</v>
      </c>
      <c r="F11" s="68" t="s">
        <v>122</v>
      </c>
      <c r="G11" s="68" t="s">
        <v>296</v>
      </c>
      <c r="H11" s="68" t="s">
        <v>124</v>
      </c>
      <c r="I11" s="68">
        <v>52</v>
      </c>
      <c r="J11" s="68">
        <v>36523984</v>
      </c>
      <c r="K11" s="68" t="s">
        <v>127</v>
      </c>
      <c r="L11" s="68" t="s">
        <v>58</v>
      </c>
      <c r="M11" s="68" t="s">
        <v>26</v>
      </c>
      <c r="N11" s="68" t="s">
        <v>125</v>
      </c>
      <c r="O11" s="68">
        <v>6199834658</v>
      </c>
      <c r="P11" s="68">
        <v>1340</v>
      </c>
      <c r="Q11" s="68">
        <v>1357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1">
        <v>0</v>
      </c>
      <c r="Z11" s="71">
        <v>0</v>
      </c>
      <c r="AA11" s="68">
        <v>0</v>
      </c>
      <c r="AB11" s="68" t="s">
        <v>258</v>
      </c>
      <c r="AC11" s="110">
        <v>7</v>
      </c>
      <c r="AD11" s="110">
        <v>1414866.02</v>
      </c>
      <c r="AE11" s="110">
        <v>349518.12</v>
      </c>
      <c r="AF11" s="110">
        <v>71200</v>
      </c>
      <c r="AG11" s="110">
        <f t="shared" si="4"/>
        <v>1835584</v>
      </c>
      <c r="AH11" s="110">
        <f t="shared" si="5"/>
        <v>53231936</v>
      </c>
      <c r="AI11" s="110">
        <v>8500000</v>
      </c>
      <c r="AJ11" s="110">
        <v>6500000</v>
      </c>
      <c r="AK11" s="110">
        <f t="shared" si="0"/>
        <v>0</v>
      </c>
      <c r="AL11" s="110">
        <v>1700000</v>
      </c>
      <c r="AM11" s="116">
        <v>3000000</v>
      </c>
      <c r="AN11" s="116">
        <v>1000000</v>
      </c>
      <c r="AO11" s="110">
        <f t="shared" si="7"/>
        <v>9177920</v>
      </c>
      <c r="AP11" s="110">
        <f t="shared" si="8"/>
        <v>4588960</v>
      </c>
      <c r="AQ11" s="69">
        <f t="shared" si="6"/>
        <v>87698816</v>
      </c>
      <c r="AR11" s="110">
        <f t="shared" si="3"/>
        <v>350429</v>
      </c>
      <c r="AS11" s="70"/>
    </row>
    <row r="12" spans="1:45" s="55" customFormat="1" ht="18" x14ac:dyDescent="0.45">
      <c r="A12" s="114" t="s">
        <v>287</v>
      </c>
      <c r="B12" s="68">
        <v>1260460274</v>
      </c>
      <c r="C12" s="68">
        <v>9135615270</v>
      </c>
      <c r="D12" s="68" t="s">
        <v>78</v>
      </c>
      <c r="E12" s="68" t="s">
        <v>93</v>
      </c>
      <c r="F12" s="68" t="s">
        <v>87</v>
      </c>
      <c r="G12" s="68" t="s">
        <v>297</v>
      </c>
      <c r="H12" s="68" t="s">
        <v>25</v>
      </c>
      <c r="I12" s="68">
        <v>47017</v>
      </c>
      <c r="J12" s="68">
        <v>36539904</v>
      </c>
      <c r="K12" s="68" t="s">
        <v>127</v>
      </c>
      <c r="L12" s="68" t="s">
        <v>58</v>
      </c>
      <c r="M12" s="68" t="s">
        <v>26</v>
      </c>
      <c r="N12" s="68" t="s">
        <v>94</v>
      </c>
      <c r="O12" s="68">
        <v>1261902157</v>
      </c>
      <c r="P12" s="68">
        <v>1357</v>
      </c>
      <c r="Q12" s="68">
        <v>1375</v>
      </c>
      <c r="R12" s="68" t="s">
        <v>59</v>
      </c>
      <c r="S12" s="68">
        <v>1251017185</v>
      </c>
      <c r="T12" s="68" t="s">
        <v>314</v>
      </c>
      <c r="U12" s="68" t="s">
        <v>95</v>
      </c>
      <c r="V12" s="68">
        <v>1250772796</v>
      </c>
      <c r="W12" s="68" t="s">
        <v>266</v>
      </c>
      <c r="X12" s="68"/>
      <c r="Y12" s="71"/>
      <c r="Z12" s="71"/>
      <c r="AA12" s="68">
        <v>2</v>
      </c>
      <c r="AB12" s="68" t="s">
        <v>253</v>
      </c>
      <c r="AC12" s="110">
        <v>8</v>
      </c>
      <c r="AD12" s="110">
        <v>1419417.26</v>
      </c>
      <c r="AE12" s="110">
        <v>353060.57999999996</v>
      </c>
      <c r="AF12" s="110">
        <v>71400</v>
      </c>
      <c r="AG12" s="110">
        <f t="shared" si="4"/>
        <v>1843877</v>
      </c>
      <c r="AH12" s="110">
        <f t="shared" si="5"/>
        <v>53472433</v>
      </c>
      <c r="AI12" s="110">
        <v>8500000</v>
      </c>
      <c r="AJ12" s="110">
        <v>6500000</v>
      </c>
      <c r="AK12" s="110">
        <f t="shared" si="0"/>
        <v>8359500</v>
      </c>
      <c r="AL12" s="110">
        <v>1700000</v>
      </c>
      <c r="AM12" s="116">
        <v>3000000</v>
      </c>
      <c r="AN12" s="116">
        <v>1000000</v>
      </c>
      <c r="AO12" s="110">
        <f t="shared" si="7"/>
        <v>9219385</v>
      </c>
      <c r="AP12" s="110">
        <f t="shared" si="8"/>
        <v>4609692</v>
      </c>
      <c r="AQ12" s="69">
        <f t="shared" si="6"/>
        <v>96361010</v>
      </c>
      <c r="AR12" s="110">
        <f t="shared" si="3"/>
        <v>352012</v>
      </c>
      <c r="AS12" s="70"/>
    </row>
    <row r="13" spans="1:45" s="55" customFormat="1" ht="18" x14ac:dyDescent="0.45">
      <c r="A13" s="114" t="s">
        <v>287</v>
      </c>
      <c r="B13" s="68">
        <v>1263024238</v>
      </c>
      <c r="C13" s="68">
        <v>9137263191</v>
      </c>
      <c r="D13" s="68" t="s">
        <v>120</v>
      </c>
      <c r="E13" s="68" t="s">
        <v>130</v>
      </c>
      <c r="F13" s="68" t="s">
        <v>131</v>
      </c>
      <c r="G13" s="68" t="s">
        <v>298</v>
      </c>
      <c r="H13" s="68" t="s">
        <v>92</v>
      </c>
      <c r="I13" s="68">
        <v>58</v>
      </c>
      <c r="J13" s="68">
        <v>36622889</v>
      </c>
      <c r="K13" s="68" t="s">
        <v>127</v>
      </c>
      <c r="L13" s="68" t="s">
        <v>58</v>
      </c>
      <c r="M13" s="68" t="s">
        <v>26</v>
      </c>
      <c r="N13" s="68" t="s">
        <v>132</v>
      </c>
      <c r="O13" s="68">
        <v>1262692172</v>
      </c>
      <c r="P13" s="68">
        <v>1363</v>
      </c>
      <c r="Q13" s="68">
        <v>1387</v>
      </c>
      <c r="R13" s="68" t="s">
        <v>133</v>
      </c>
      <c r="S13" s="68">
        <v>1251082262</v>
      </c>
      <c r="T13" s="68" t="s">
        <v>256</v>
      </c>
      <c r="U13" s="68" t="s">
        <v>134</v>
      </c>
      <c r="V13" s="68">
        <v>1251452566</v>
      </c>
      <c r="W13" s="68" t="s">
        <v>257</v>
      </c>
      <c r="X13" s="68">
        <v>0</v>
      </c>
      <c r="Y13" s="71">
        <v>0</v>
      </c>
      <c r="Z13" s="71">
        <v>0</v>
      </c>
      <c r="AA13" s="68">
        <v>2</v>
      </c>
      <c r="AB13" s="68" t="s">
        <v>255</v>
      </c>
      <c r="AC13" s="110">
        <v>7</v>
      </c>
      <c r="AD13" s="110">
        <v>1414866.02</v>
      </c>
      <c r="AE13" s="110">
        <v>349518.12</v>
      </c>
      <c r="AF13" s="110">
        <v>71200</v>
      </c>
      <c r="AG13" s="110">
        <f t="shared" si="4"/>
        <v>1835584</v>
      </c>
      <c r="AH13" s="110">
        <f t="shared" si="5"/>
        <v>53231936</v>
      </c>
      <c r="AI13" s="110">
        <v>8500000</v>
      </c>
      <c r="AJ13" s="110">
        <v>6500000</v>
      </c>
      <c r="AK13" s="110">
        <f t="shared" si="0"/>
        <v>8359500</v>
      </c>
      <c r="AL13" s="110">
        <v>1700000</v>
      </c>
      <c r="AM13" s="116">
        <v>3000000</v>
      </c>
      <c r="AN13" s="116">
        <v>1000000</v>
      </c>
      <c r="AO13" s="110">
        <f t="shared" si="7"/>
        <v>9177920</v>
      </c>
      <c r="AP13" s="110">
        <f t="shared" si="8"/>
        <v>4588960</v>
      </c>
      <c r="AQ13" s="69">
        <f t="shared" si="6"/>
        <v>96058316</v>
      </c>
      <c r="AR13" s="110">
        <f t="shared" si="3"/>
        <v>350429</v>
      </c>
      <c r="AS13" s="70"/>
    </row>
    <row r="14" spans="1:45" s="55" customFormat="1" ht="18" x14ac:dyDescent="0.45">
      <c r="A14" s="114" t="s">
        <v>287</v>
      </c>
      <c r="B14" s="68">
        <v>1261068696</v>
      </c>
      <c r="C14" s="68">
        <v>9132626617</v>
      </c>
      <c r="D14" s="68" t="s">
        <v>121</v>
      </c>
      <c r="E14" s="68" t="s">
        <v>130</v>
      </c>
      <c r="F14" s="68" t="s">
        <v>131</v>
      </c>
      <c r="G14" s="68" t="s">
        <v>299</v>
      </c>
      <c r="H14" s="68" t="s">
        <v>92</v>
      </c>
      <c r="I14" s="68">
        <v>1613</v>
      </c>
      <c r="J14" s="68">
        <v>36591768</v>
      </c>
      <c r="K14" s="68" t="s">
        <v>127</v>
      </c>
      <c r="L14" s="68" t="s">
        <v>58</v>
      </c>
      <c r="M14" s="68" t="s">
        <v>26</v>
      </c>
      <c r="N14" s="68" t="s">
        <v>135</v>
      </c>
      <c r="O14" s="68">
        <v>1260773851</v>
      </c>
      <c r="P14" s="68">
        <v>1349</v>
      </c>
      <c r="Q14" s="68">
        <v>1367</v>
      </c>
      <c r="R14" s="68" t="s">
        <v>59</v>
      </c>
      <c r="S14" s="68">
        <v>1250748267</v>
      </c>
      <c r="T14" s="68" t="s">
        <v>280</v>
      </c>
      <c r="U14" s="68"/>
      <c r="V14" s="68"/>
      <c r="W14" s="68"/>
      <c r="X14" s="68"/>
      <c r="Y14" s="71"/>
      <c r="Z14" s="71"/>
      <c r="AA14" s="68">
        <v>1</v>
      </c>
      <c r="AB14" s="68" t="s">
        <v>272</v>
      </c>
      <c r="AC14" s="110">
        <v>9</v>
      </c>
      <c r="AD14" s="110">
        <v>1424597.7799999998</v>
      </c>
      <c r="AE14" s="110">
        <v>356603.04</v>
      </c>
      <c r="AF14" s="110">
        <v>71600</v>
      </c>
      <c r="AG14" s="110">
        <f t="shared" si="4"/>
        <v>1852800</v>
      </c>
      <c r="AH14" s="110">
        <f t="shared" si="5"/>
        <v>53731200</v>
      </c>
      <c r="AI14" s="110">
        <v>8500000</v>
      </c>
      <c r="AJ14" s="110">
        <v>6500000</v>
      </c>
      <c r="AK14" s="110">
        <f t="shared" si="0"/>
        <v>4179750</v>
      </c>
      <c r="AL14" s="110">
        <v>1700000</v>
      </c>
      <c r="AM14" s="116">
        <v>3000000</v>
      </c>
      <c r="AN14" s="116">
        <v>1000000</v>
      </c>
      <c r="AO14" s="110">
        <f t="shared" si="7"/>
        <v>9264000</v>
      </c>
      <c r="AP14" s="110">
        <f t="shared" si="8"/>
        <v>4632000</v>
      </c>
      <c r="AQ14" s="69">
        <f t="shared" si="6"/>
        <v>92506950</v>
      </c>
      <c r="AR14" s="110">
        <f t="shared" si="3"/>
        <v>353716</v>
      </c>
      <c r="AS14" s="70"/>
    </row>
    <row r="15" spans="1:45" s="55" customFormat="1" ht="18" x14ac:dyDescent="0.45">
      <c r="A15" s="114" t="s">
        <v>287</v>
      </c>
      <c r="B15" s="68">
        <v>1263261221</v>
      </c>
      <c r="C15" s="68">
        <v>9132775718</v>
      </c>
      <c r="D15" s="68" t="s">
        <v>87</v>
      </c>
      <c r="E15" s="68" t="s">
        <v>96</v>
      </c>
      <c r="F15" s="68" t="s">
        <v>78</v>
      </c>
      <c r="G15" s="68" t="s">
        <v>300</v>
      </c>
      <c r="H15" s="68" t="s">
        <v>86</v>
      </c>
      <c r="I15" s="68">
        <v>102</v>
      </c>
      <c r="J15" s="68">
        <v>36551689</v>
      </c>
      <c r="K15" s="68" t="s">
        <v>127</v>
      </c>
      <c r="L15" s="68" t="s">
        <v>58</v>
      </c>
      <c r="M15" s="68" t="s">
        <v>26</v>
      </c>
      <c r="N15" s="68" t="s">
        <v>97</v>
      </c>
      <c r="O15" s="68">
        <v>1263271677</v>
      </c>
      <c r="P15" s="68">
        <v>1357</v>
      </c>
      <c r="Q15" s="68">
        <v>1376</v>
      </c>
      <c r="R15" s="68" t="s">
        <v>77</v>
      </c>
      <c r="S15" s="68">
        <v>1250646111</v>
      </c>
      <c r="T15" s="68" t="s">
        <v>267</v>
      </c>
      <c r="U15" s="68">
        <v>0</v>
      </c>
      <c r="V15" s="68">
        <v>0</v>
      </c>
      <c r="W15" s="68">
        <v>0</v>
      </c>
      <c r="X15" s="68">
        <v>0</v>
      </c>
      <c r="Y15" s="71">
        <v>0</v>
      </c>
      <c r="Z15" s="71"/>
      <c r="AA15" s="68">
        <v>1</v>
      </c>
      <c r="AB15" s="68" t="s">
        <v>253</v>
      </c>
      <c r="AC15" s="110">
        <v>8</v>
      </c>
      <c r="AD15" s="110">
        <v>1419417.26</v>
      </c>
      <c r="AE15" s="110">
        <v>353060.57999999996</v>
      </c>
      <c r="AF15" s="110">
        <v>71400</v>
      </c>
      <c r="AG15" s="110">
        <f t="shared" si="4"/>
        <v>1843877</v>
      </c>
      <c r="AH15" s="110">
        <f t="shared" si="5"/>
        <v>53472433</v>
      </c>
      <c r="AI15" s="110">
        <v>8500000</v>
      </c>
      <c r="AJ15" s="110">
        <v>6500000</v>
      </c>
      <c r="AK15" s="110">
        <f t="shared" si="0"/>
        <v>4179750</v>
      </c>
      <c r="AL15" s="110">
        <v>1700000</v>
      </c>
      <c r="AM15" s="116">
        <v>3000000</v>
      </c>
      <c r="AN15" s="116">
        <v>1000000</v>
      </c>
      <c r="AO15" s="110">
        <f t="shared" si="7"/>
        <v>9219385</v>
      </c>
      <c r="AP15" s="110">
        <f t="shared" si="8"/>
        <v>4609692</v>
      </c>
      <c r="AQ15" s="69">
        <f t="shared" si="6"/>
        <v>92181260</v>
      </c>
      <c r="AR15" s="110">
        <f t="shared" si="3"/>
        <v>352012</v>
      </c>
      <c r="AS15" s="70"/>
    </row>
    <row r="16" spans="1:45" s="55" customFormat="1" ht="18" x14ac:dyDescent="0.45">
      <c r="A16" s="114" t="s">
        <v>287</v>
      </c>
      <c r="B16" s="68">
        <v>1261810651</v>
      </c>
      <c r="C16" s="68">
        <v>9360102553</v>
      </c>
      <c r="D16" s="68" t="s">
        <v>98</v>
      </c>
      <c r="E16" s="68" t="s">
        <v>99</v>
      </c>
      <c r="F16" s="68" t="s">
        <v>87</v>
      </c>
      <c r="G16" s="68" t="s">
        <v>301</v>
      </c>
      <c r="H16" s="68" t="s">
        <v>25</v>
      </c>
      <c r="I16" s="68">
        <v>96</v>
      </c>
      <c r="J16" s="68"/>
      <c r="K16" s="68" t="s">
        <v>39</v>
      </c>
      <c r="L16" s="68" t="s">
        <v>336</v>
      </c>
      <c r="M16" s="68" t="s">
        <v>126</v>
      </c>
      <c r="N16" s="68" t="s">
        <v>100</v>
      </c>
      <c r="O16" s="68">
        <v>1261821262</v>
      </c>
      <c r="P16" s="68">
        <v>1353</v>
      </c>
      <c r="Q16" s="68">
        <v>1372</v>
      </c>
      <c r="R16" s="68" t="s">
        <v>101</v>
      </c>
      <c r="S16" s="68">
        <v>1250420474</v>
      </c>
      <c r="T16" s="68" t="s">
        <v>277</v>
      </c>
      <c r="U16" s="68" t="s">
        <v>102</v>
      </c>
      <c r="V16" s="68">
        <v>1250595509</v>
      </c>
      <c r="W16" s="68" t="s">
        <v>278</v>
      </c>
      <c r="X16" s="68">
        <v>0</v>
      </c>
      <c r="Y16" s="71">
        <v>0</v>
      </c>
      <c r="Z16" s="71">
        <v>0</v>
      </c>
      <c r="AA16" s="68">
        <v>2</v>
      </c>
      <c r="AB16" s="68" t="s">
        <v>335</v>
      </c>
      <c r="AC16" s="110">
        <v>8</v>
      </c>
      <c r="AD16" s="110">
        <v>1419417.26</v>
      </c>
      <c r="AE16" s="110">
        <v>382462.86</v>
      </c>
      <c r="AF16" s="110">
        <v>71400</v>
      </c>
      <c r="AG16" s="110">
        <f t="shared" si="4"/>
        <v>1873280</v>
      </c>
      <c r="AH16" s="110">
        <f t="shared" si="5"/>
        <v>54325120</v>
      </c>
      <c r="AI16" s="110">
        <v>8500000</v>
      </c>
      <c r="AJ16" s="110">
        <v>6500000</v>
      </c>
      <c r="AK16" s="110">
        <f t="shared" si="0"/>
        <v>8359500</v>
      </c>
      <c r="AL16" s="110">
        <v>1700000</v>
      </c>
      <c r="AM16" s="116">
        <v>3000000</v>
      </c>
      <c r="AN16" s="116">
        <v>1000000</v>
      </c>
      <c r="AO16" s="110">
        <f t="shared" si="7"/>
        <v>9366400</v>
      </c>
      <c r="AP16" s="110">
        <f t="shared" si="8"/>
        <v>4683200</v>
      </c>
      <c r="AQ16" s="69">
        <f t="shared" si="6"/>
        <v>97434220</v>
      </c>
      <c r="AR16" s="110">
        <f t="shared" si="3"/>
        <v>357626</v>
      </c>
      <c r="AS16" s="70"/>
    </row>
    <row r="17" spans="1:45" s="55" customFormat="1" ht="18" x14ac:dyDescent="0.45">
      <c r="A17" s="114" t="s">
        <v>287</v>
      </c>
      <c r="B17" s="68">
        <v>1261021800</v>
      </c>
      <c r="C17" s="68">
        <v>9132760758</v>
      </c>
      <c r="D17" s="68" t="s">
        <v>103</v>
      </c>
      <c r="E17" s="68" t="s">
        <v>104</v>
      </c>
      <c r="F17" s="68" t="s">
        <v>105</v>
      </c>
      <c r="G17" s="68" t="s">
        <v>302</v>
      </c>
      <c r="H17" s="68" t="s">
        <v>25</v>
      </c>
      <c r="I17" s="68">
        <v>4545</v>
      </c>
      <c r="J17" s="68">
        <v>36555169</v>
      </c>
      <c r="K17" s="68" t="s">
        <v>127</v>
      </c>
      <c r="L17" s="68" t="s">
        <v>49</v>
      </c>
      <c r="M17" s="68" t="s">
        <v>26</v>
      </c>
      <c r="N17" s="68" t="s">
        <v>106</v>
      </c>
      <c r="O17" s="68">
        <v>1261993993</v>
      </c>
      <c r="P17" s="68">
        <v>1361</v>
      </c>
      <c r="Q17" s="68">
        <v>1381</v>
      </c>
      <c r="R17" s="68" t="s">
        <v>107</v>
      </c>
      <c r="S17" s="68">
        <v>1250728169</v>
      </c>
      <c r="T17" s="68" t="s">
        <v>268</v>
      </c>
      <c r="U17" s="68" t="s">
        <v>65</v>
      </c>
      <c r="V17" s="68">
        <v>1251238548</v>
      </c>
      <c r="W17" s="68" t="s">
        <v>269</v>
      </c>
      <c r="X17" s="68"/>
      <c r="Y17" s="71"/>
      <c r="Z17" s="71"/>
      <c r="AA17" s="68">
        <v>2</v>
      </c>
      <c r="AB17" s="68" t="s">
        <v>259</v>
      </c>
      <c r="AC17" s="110">
        <v>8</v>
      </c>
      <c r="AD17" s="110">
        <v>1419417.26</v>
      </c>
      <c r="AE17" s="110">
        <v>353060.57999999996</v>
      </c>
      <c r="AF17" s="110">
        <v>71400</v>
      </c>
      <c r="AG17" s="110">
        <f t="shared" si="4"/>
        <v>1843877</v>
      </c>
      <c r="AH17" s="110">
        <f t="shared" si="5"/>
        <v>53472433</v>
      </c>
      <c r="AI17" s="110">
        <v>8500000</v>
      </c>
      <c r="AJ17" s="110">
        <v>6500000</v>
      </c>
      <c r="AK17" s="110">
        <f t="shared" si="0"/>
        <v>8359500</v>
      </c>
      <c r="AL17" s="110">
        <v>1700000</v>
      </c>
      <c r="AM17" s="116">
        <v>3000000</v>
      </c>
      <c r="AN17" s="116">
        <v>1000000</v>
      </c>
      <c r="AO17" s="110">
        <f t="shared" si="7"/>
        <v>9219385</v>
      </c>
      <c r="AP17" s="110">
        <f t="shared" si="8"/>
        <v>4609692</v>
      </c>
      <c r="AQ17" s="69">
        <f t="shared" si="6"/>
        <v>96361010</v>
      </c>
      <c r="AR17" s="110">
        <f t="shared" si="3"/>
        <v>352012</v>
      </c>
      <c r="AS17" s="70"/>
    </row>
    <row r="18" spans="1:45" s="55" customFormat="1" ht="18" x14ac:dyDescent="0.45">
      <c r="A18" s="114" t="s">
        <v>287</v>
      </c>
      <c r="B18" s="68">
        <v>6199982533</v>
      </c>
      <c r="C18" s="68">
        <v>9137420463</v>
      </c>
      <c r="D18" s="68" t="s">
        <v>76</v>
      </c>
      <c r="E18" s="68" t="s">
        <v>108</v>
      </c>
      <c r="F18" s="68" t="s">
        <v>109</v>
      </c>
      <c r="G18" s="68" t="s">
        <v>303</v>
      </c>
      <c r="H18" s="68" t="s">
        <v>110</v>
      </c>
      <c r="I18" s="68">
        <v>676</v>
      </c>
      <c r="J18" s="68">
        <v>74699781</v>
      </c>
      <c r="K18" s="68" t="s">
        <v>127</v>
      </c>
      <c r="L18" s="68" t="s">
        <v>49</v>
      </c>
      <c r="M18" s="68" t="s">
        <v>26</v>
      </c>
      <c r="N18" s="68" t="s">
        <v>129</v>
      </c>
      <c r="O18" s="68">
        <v>1250427983</v>
      </c>
      <c r="P18" s="68">
        <v>1375</v>
      </c>
      <c r="Q18" s="68">
        <v>1392</v>
      </c>
      <c r="R18" s="68" t="s">
        <v>111</v>
      </c>
      <c r="S18" s="68">
        <v>6190320155</v>
      </c>
      <c r="T18" s="68" t="s">
        <v>270</v>
      </c>
      <c r="U18" s="68"/>
      <c r="V18" s="68"/>
      <c r="W18" s="68"/>
      <c r="X18" s="68"/>
      <c r="Y18" s="71"/>
      <c r="Z18" s="71"/>
      <c r="AA18" s="68">
        <v>1</v>
      </c>
      <c r="AB18" s="68" t="s">
        <v>263</v>
      </c>
      <c r="AC18" s="110">
        <v>8</v>
      </c>
      <c r="AD18" s="110">
        <v>1419417.26</v>
      </c>
      <c r="AE18" s="110">
        <v>353060.57999999996</v>
      </c>
      <c r="AF18" s="110">
        <v>71400</v>
      </c>
      <c r="AG18" s="110">
        <f t="shared" si="4"/>
        <v>1843877</v>
      </c>
      <c r="AH18" s="110">
        <f t="shared" si="5"/>
        <v>53472433</v>
      </c>
      <c r="AI18" s="110">
        <v>8500000</v>
      </c>
      <c r="AJ18" s="110">
        <v>6500000</v>
      </c>
      <c r="AK18" s="110">
        <f t="shared" si="0"/>
        <v>4179750</v>
      </c>
      <c r="AL18" s="110">
        <v>1700000</v>
      </c>
      <c r="AM18" s="116">
        <v>3000000</v>
      </c>
      <c r="AN18" s="116">
        <v>1000000</v>
      </c>
      <c r="AO18" s="110">
        <f t="shared" si="7"/>
        <v>9219385</v>
      </c>
      <c r="AP18" s="110">
        <f t="shared" si="8"/>
        <v>4609692</v>
      </c>
      <c r="AQ18" s="69">
        <f t="shared" si="6"/>
        <v>92181260</v>
      </c>
      <c r="AR18" s="110">
        <f t="shared" si="3"/>
        <v>352012</v>
      </c>
      <c r="AS18" s="70"/>
    </row>
    <row r="19" spans="1:45" s="55" customFormat="1" ht="18" x14ac:dyDescent="0.45">
      <c r="A19" s="114" t="s">
        <v>287</v>
      </c>
      <c r="B19" s="68">
        <v>1250320690</v>
      </c>
      <c r="C19" s="68">
        <v>9139995928</v>
      </c>
      <c r="D19" s="68" t="s">
        <v>113</v>
      </c>
      <c r="E19" s="68" t="s">
        <v>114</v>
      </c>
      <c r="F19" s="68" t="s">
        <v>55</v>
      </c>
      <c r="G19" s="68" t="s">
        <v>304</v>
      </c>
      <c r="H19" s="68" t="s">
        <v>92</v>
      </c>
      <c r="I19" s="68">
        <v>1250320690</v>
      </c>
      <c r="J19" s="68">
        <v>36622195</v>
      </c>
      <c r="K19" s="68" t="s">
        <v>83</v>
      </c>
      <c r="L19" s="68" t="s">
        <v>112</v>
      </c>
      <c r="M19" s="68" t="s">
        <v>126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71">
        <v>0</v>
      </c>
      <c r="Z19" s="71">
        <v>0</v>
      </c>
      <c r="AA19" s="68">
        <v>0</v>
      </c>
      <c r="AB19" s="68" t="s">
        <v>253</v>
      </c>
      <c r="AC19" s="110">
        <v>8</v>
      </c>
      <c r="AD19" s="110">
        <v>1419417.26</v>
      </c>
      <c r="AE19" s="110">
        <v>323948.09999999998</v>
      </c>
      <c r="AF19" s="110">
        <v>71400</v>
      </c>
      <c r="AG19" s="110">
        <f t="shared" si="4"/>
        <v>1814765</v>
      </c>
      <c r="AH19" s="110">
        <f t="shared" si="5"/>
        <v>52628185</v>
      </c>
      <c r="AI19" s="110">
        <v>8500000</v>
      </c>
      <c r="AJ19" s="110">
        <v>6500000</v>
      </c>
      <c r="AK19" s="110">
        <f t="shared" si="0"/>
        <v>0</v>
      </c>
      <c r="AL19" s="110">
        <v>1700000</v>
      </c>
      <c r="AM19" s="116">
        <v>3000000</v>
      </c>
      <c r="AN19" s="116">
        <v>1000000</v>
      </c>
      <c r="AO19" s="110">
        <f t="shared" si="7"/>
        <v>9073825</v>
      </c>
      <c r="AP19" s="110">
        <f t="shared" si="8"/>
        <v>4536912</v>
      </c>
      <c r="AQ19" s="69">
        <f t="shared" si="6"/>
        <v>86938922</v>
      </c>
      <c r="AR19" s="110">
        <f t="shared" si="3"/>
        <v>346455</v>
      </c>
      <c r="AS19" s="70"/>
    </row>
    <row r="20" spans="1:45" s="55" customFormat="1" ht="18" x14ac:dyDescent="0.45">
      <c r="A20" s="114" t="s">
        <v>287</v>
      </c>
      <c r="B20" s="68">
        <v>1250186943</v>
      </c>
      <c r="C20" s="68">
        <v>9396080449</v>
      </c>
      <c r="D20" s="68" t="s">
        <v>27</v>
      </c>
      <c r="E20" s="68" t="s">
        <v>115</v>
      </c>
      <c r="F20" s="68" t="s">
        <v>116</v>
      </c>
      <c r="G20" s="68" t="s">
        <v>305</v>
      </c>
      <c r="H20" s="68" t="s">
        <v>25</v>
      </c>
      <c r="I20" s="68">
        <v>1250186943</v>
      </c>
      <c r="J20" s="68">
        <v>36625064</v>
      </c>
      <c r="K20" s="68" t="s">
        <v>62</v>
      </c>
      <c r="L20" s="68" t="s">
        <v>117</v>
      </c>
      <c r="M20" s="68" t="s">
        <v>26</v>
      </c>
      <c r="N20" s="68" t="s">
        <v>118</v>
      </c>
      <c r="O20" s="68">
        <v>1250540259</v>
      </c>
      <c r="P20" s="68">
        <v>1378</v>
      </c>
      <c r="Q20" s="68">
        <v>1393</v>
      </c>
      <c r="R20" s="68" t="s">
        <v>71</v>
      </c>
      <c r="S20" s="68">
        <v>1251565522</v>
      </c>
      <c r="T20" s="68" t="s">
        <v>276</v>
      </c>
      <c r="U20" s="68"/>
      <c r="V20" s="68"/>
      <c r="W20" s="68"/>
      <c r="X20" s="68"/>
      <c r="Y20" s="71"/>
      <c r="Z20" s="71"/>
      <c r="AA20" s="68">
        <v>1</v>
      </c>
      <c r="AB20" s="68" t="s">
        <v>275</v>
      </c>
      <c r="AC20" s="110">
        <v>14</v>
      </c>
      <c r="AD20" s="110">
        <v>1458111.0799999998</v>
      </c>
      <c r="AE20" s="110">
        <v>351237.6</v>
      </c>
      <c r="AF20" s="110">
        <v>73200</v>
      </c>
      <c r="AG20" s="110">
        <f t="shared" si="4"/>
        <v>1882548</v>
      </c>
      <c r="AH20" s="110">
        <f t="shared" si="5"/>
        <v>54593892</v>
      </c>
      <c r="AI20" s="110">
        <v>8500000</v>
      </c>
      <c r="AJ20" s="110">
        <v>6500000</v>
      </c>
      <c r="AK20" s="110">
        <f t="shared" si="0"/>
        <v>4179750</v>
      </c>
      <c r="AL20" s="110">
        <v>1700000</v>
      </c>
      <c r="AM20" s="116">
        <v>3000000</v>
      </c>
      <c r="AN20" s="116">
        <v>1000000</v>
      </c>
      <c r="AO20" s="110">
        <f t="shared" si="7"/>
        <v>9412740</v>
      </c>
      <c r="AP20" s="110">
        <f t="shared" si="8"/>
        <v>4706370</v>
      </c>
      <c r="AQ20" s="69">
        <f t="shared" si="6"/>
        <v>93592752</v>
      </c>
      <c r="AR20" s="110">
        <f t="shared" si="3"/>
        <v>359395</v>
      </c>
      <c r="AS20" s="70"/>
    </row>
    <row r="21" spans="1:45" s="55" customFormat="1" ht="18" x14ac:dyDescent="0.45">
      <c r="A21" s="114" t="s">
        <v>287</v>
      </c>
      <c r="B21" s="68">
        <v>1250219892</v>
      </c>
      <c r="C21" s="68">
        <v>9128410924</v>
      </c>
      <c r="D21" s="68" t="s">
        <v>306</v>
      </c>
      <c r="E21" s="68" t="s">
        <v>307</v>
      </c>
      <c r="F21" s="68" t="s">
        <v>308</v>
      </c>
      <c r="G21" s="68" t="s">
        <v>309</v>
      </c>
      <c r="H21" s="68" t="s">
        <v>25</v>
      </c>
      <c r="I21" s="68">
        <v>1250219892</v>
      </c>
      <c r="J21" s="68">
        <v>33300540</v>
      </c>
      <c r="K21" s="68" t="s">
        <v>62</v>
      </c>
      <c r="L21" s="68" t="s">
        <v>327</v>
      </c>
      <c r="M21" s="68" t="s">
        <v>126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71">
        <v>0</v>
      </c>
      <c r="Z21" s="71">
        <v>0</v>
      </c>
      <c r="AA21" s="68">
        <v>0</v>
      </c>
      <c r="AB21" s="68" t="s">
        <v>253</v>
      </c>
      <c r="AC21" s="110">
        <v>6</v>
      </c>
      <c r="AD21" s="110">
        <v>1410541.0999999999</v>
      </c>
      <c r="AE21" s="110">
        <v>0</v>
      </c>
      <c r="AF21" s="110">
        <v>0</v>
      </c>
      <c r="AG21" s="110">
        <f t="shared" si="4"/>
        <v>1410541</v>
      </c>
      <c r="AH21" s="110">
        <f t="shared" si="5"/>
        <v>40905689</v>
      </c>
      <c r="AI21" s="110">
        <v>8500000</v>
      </c>
      <c r="AJ21" s="110">
        <v>6500000</v>
      </c>
      <c r="AK21" s="110">
        <f t="shared" si="0"/>
        <v>0</v>
      </c>
      <c r="AL21" s="110">
        <v>1700000</v>
      </c>
      <c r="AM21" s="116">
        <v>3000000</v>
      </c>
      <c r="AN21" s="116">
        <v>1000000</v>
      </c>
      <c r="AO21" s="110">
        <f t="shared" si="7"/>
        <v>7052705</v>
      </c>
      <c r="AP21" s="110">
        <f t="shared" si="8"/>
        <v>3526352</v>
      </c>
      <c r="AQ21" s="69">
        <f t="shared" si="6"/>
        <v>72184746</v>
      </c>
      <c r="AR21" s="110">
        <f t="shared" si="3"/>
        <v>269285</v>
      </c>
      <c r="AS21" s="70"/>
    </row>
    <row r="22" spans="1:45" s="55" customFormat="1" ht="18" x14ac:dyDescent="0.45">
      <c r="A22" s="114" t="s">
        <v>287</v>
      </c>
      <c r="B22" s="68">
        <v>6199885228</v>
      </c>
      <c r="C22" s="68">
        <v>9132630713</v>
      </c>
      <c r="D22" s="68" t="s">
        <v>50</v>
      </c>
      <c r="E22" s="68" t="s">
        <v>315</v>
      </c>
      <c r="F22" s="68" t="s">
        <v>316</v>
      </c>
      <c r="G22" s="68" t="s">
        <v>317</v>
      </c>
      <c r="H22" s="68" t="s">
        <v>25</v>
      </c>
      <c r="I22" s="68">
        <v>151</v>
      </c>
      <c r="J22" s="68">
        <v>36554618</v>
      </c>
      <c r="K22" s="68" t="s">
        <v>127</v>
      </c>
      <c r="L22" s="68" t="s">
        <v>318</v>
      </c>
      <c r="M22" s="68" t="s">
        <v>26</v>
      </c>
      <c r="N22" s="68" t="s">
        <v>319</v>
      </c>
      <c r="O22" s="68"/>
      <c r="P22" s="68" t="s">
        <v>320</v>
      </c>
      <c r="Q22" s="68" t="s">
        <v>321</v>
      </c>
      <c r="R22" s="68" t="s">
        <v>325</v>
      </c>
      <c r="S22" s="68">
        <v>6190152260</v>
      </c>
      <c r="T22" s="68" t="s">
        <v>324</v>
      </c>
      <c r="U22" s="68" t="s">
        <v>322</v>
      </c>
      <c r="V22" s="68">
        <v>1250690617</v>
      </c>
      <c r="W22" s="68" t="s">
        <v>323</v>
      </c>
      <c r="X22" s="68"/>
      <c r="Y22" s="71"/>
      <c r="Z22" s="71"/>
      <c r="AA22" s="68">
        <v>2</v>
      </c>
      <c r="AB22" s="68" t="s">
        <v>326</v>
      </c>
      <c r="AC22" s="110">
        <v>6</v>
      </c>
      <c r="AD22" s="110">
        <v>1410541.0999999999</v>
      </c>
      <c r="AE22" s="110">
        <v>280193.82</v>
      </c>
      <c r="AF22" s="110">
        <v>71000</v>
      </c>
      <c r="AG22" s="110">
        <f t="shared" si="4"/>
        <v>1761734</v>
      </c>
      <c r="AH22" s="110">
        <f t="shared" si="5"/>
        <v>51090286</v>
      </c>
      <c r="AI22" s="110">
        <v>8500000</v>
      </c>
      <c r="AJ22" s="110">
        <v>6500000</v>
      </c>
      <c r="AK22" s="110">
        <f t="shared" si="0"/>
        <v>8359500</v>
      </c>
      <c r="AL22" s="110">
        <v>1700000</v>
      </c>
      <c r="AM22" s="116">
        <v>3000000</v>
      </c>
      <c r="AN22" s="116">
        <v>1000000</v>
      </c>
      <c r="AO22" s="110">
        <f t="shared" si="7"/>
        <v>8808670</v>
      </c>
      <c r="AP22" s="110">
        <f t="shared" si="8"/>
        <v>4404335</v>
      </c>
      <c r="AQ22" s="69">
        <f t="shared" si="6"/>
        <v>93362791</v>
      </c>
      <c r="AR22" s="110">
        <f t="shared" si="3"/>
        <v>336331</v>
      </c>
      <c r="AS22" s="70"/>
    </row>
    <row r="23" spans="1:45" s="55" customFormat="1" ht="18" x14ac:dyDescent="0.45">
      <c r="A23" s="114" t="s">
        <v>287</v>
      </c>
      <c r="B23" s="68">
        <v>1261986652</v>
      </c>
      <c r="C23" s="68">
        <v>9137263208</v>
      </c>
      <c r="D23" s="68" t="s">
        <v>55</v>
      </c>
      <c r="E23" s="68" t="s">
        <v>337</v>
      </c>
      <c r="F23" s="68" t="s">
        <v>123</v>
      </c>
      <c r="G23" s="68" t="s">
        <v>338</v>
      </c>
      <c r="H23" s="68" t="s">
        <v>25</v>
      </c>
      <c r="I23" s="68">
        <v>3957</v>
      </c>
      <c r="J23" s="68">
        <v>36612805</v>
      </c>
      <c r="K23" s="68" t="s">
        <v>62</v>
      </c>
      <c r="L23" s="68" t="s">
        <v>339</v>
      </c>
      <c r="M23" s="68" t="s">
        <v>26</v>
      </c>
      <c r="N23" s="68"/>
      <c r="O23" s="68"/>
      <c r="P23" s="68"/>
      <c r="Q23" s="68"/>
      <c r="R23" s="68" t="s">
        <v>365</v>
      </c>
      <c r="S23" s="68">
        <v>1251671896</v>
      </c>
      <c r="T23" s="68" t="s">
        <v>366</v>
      </c>
      <c r="U23" s="68">
        <v>0</v>
      </c>
      <c r="V23" s="68">
        <v>0</v>
      </c>
      <c r="W23" s="68">
        <v>0</v>
      </c>
      <c r="X23" s="68">
        <v>0</v>
      </c>
      <c r="Y23" s="71">
        <v>0</v>
      </c>
      <c r="Z23" s="71">
        <v>0</v>
      </c>
      <c r="AA23" s="68">
        <v>1</v>
      </c>
      <c r="AB23" s="68" t="s">
        <v>340</v>
      </c>
      <c r="AC23" s="110">
        <v>14</v>
      </c>
      <c r="AD23" s="110">
        <v>1458111.0799999998</v>
      </c>
      <c r="AE23" s="110">
        <v>351237.6</v>
      </c>
      <c r="AF23" s="110">
        <v>73200</v>
      </c>
      <c r="AG23" s="110">
        <f t="shared" si="4"/>
        <v>1882548</v>
      </c>
      <c r="AH23" s="110">
        <f t="shared" si="5"/>
        <v>54593892</v>
      </c>
      <c r="AI23" s="110">
        <v>8500000</v>
      </c>
      <c r="AJ23" s="110">
        <v>6500000</v>
      </c>
      <c r="AK23" s="110">
        <f t="shared" si="0"/>
        <v>4179750</v>
      </c>
      <c r="AL23" s="110">
        <v>1700000</v>
      </c>
      <c r="AM23" s="116">
        <v>3000000</v>
      </c>
      <c r="AN23" s="116">
        <v>1000000</v>
      </c>
      <c r="AO23" s="110">
        <f t="shared" si="7"/>
        <v>9412740</v>
      </c>
      <c r="AP23" s="110">
        <f t="shared" si="8"/>
        <v>4706370</v>
      </c>
      <c r="AQ23" s="69">
        <f t="shared" si="6"/>
        <v>93592752</v>
      </c>
      <c r="AR23" s="110">
        <f t="shared" si="3"/>
        <v>359395</v>
      </c>
      <c r="AS23" s="70"/>
    </row>
    <row r="24" spans="1:45" s="55" customFormat="1" ht="18" x14ac:dyDescent="0.45">
      <c r="A24" s="114"/>
      <c r="AC24" s="111"/>
      <c r="AD24" s="111"/>
      <c r="AE24" s="111"/>
      <c r="AF24" s="111"/>
      <c r="AG24" s="111"/>
      <c r="AH24" s="111">
        <f>INT(SUM(AH2:AH23))*1.23</f>
        <v>1427172038.0999999</v>
      </c>
      <c r="AI24" s="111"/>
      <c r="AJ24" s="111">
        <f>INT(SUM(AI3:AJ23))*1.23</f>
        <v>387450000</v>
      </c>
      <c r="AK24" s="111">
        <f>SUM(AK2:AK23)</f>
        <v>108673500</v>
      </c>
      <c r="AL24" s="111">
        <f>SUM(AL2:AL23)</f>
        <v>37400000</v>
      </c>
      <c r="AM24" s="56">
        <f>SUM(AM2:AM23)</f>
        <v>66000000</v>
      </c>
      <c r="AN24" s="56">
        <f>SUM(AN2:AN23)</f>
        <v>22000000</v>
      </c>
      <c r="AO24" s="111"/>
      <c r="AP24" s="111">
        <f>SUM(AO2:AP23)</f>
        <v>300078220</v>
      </c>
      <c r="AQ24" s="56"/>
      <c r="AR24" s="111"/>
      <c r="AS24" s="56"/>
    </row>
    <row r="28" spans="1:45" x14ac:dyDescent="0.25">
      <c r="E28" t="s">
        <v>368</v>
      </c>
    </row>
    <row r="29" spans="1:45" x14ac:dyDescent="0.25">
      <c r="E29" t="s">
        <v>369</v>
      </c>
    </row>
    <row r="30" spans="1:45" x14ac:dyDescent="0.25">
      <c r="E30" t="s">
        <v>377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8"/>
  <sheetViews>
    <sheetView rightToLeft="1" workbookViewId="0">
      <selection activeCell="AI2" sqref="AI2"/>
    </sheetView>
  </sheetViews>
  <sheetFormatPr defaultRowHeight="15" x14ac:dyDescent="0.25"/>
  <cols>
    <col min="1" max="1" width="4.140625" bestFit="1" customWidth="1"/>
    <col min="2" max="2" width="42.28515625" style="50" bestFit="1" customWidth="1"/>
    <col min="3" max="3" width="6.42578125" hidden="1" customWidth="1"/>
    <col min="4" max="4" width="5.28515625" hidden="1" customWidth="1"/>
    <col min="5" max="5" width="9.28515625" hidden="1" customWidth="1"/>
    <col min="6" max="6" width="6.28515625" hidden="1" customWidth="1"/>
    <col min="7" max="7" width="9.28515625" hidden="1" customWidth="1"/>
    <col min="8" max="8" width="6.28515625" hidden="1" customWidth="1"/>
    <col min="9" max="9" width="7.42578125" hidden="1" customWidth="1"/>
    <col min="10" max="10" width="9.28515625" hidden="1" customWidth="1"/>
    <col min="11" max="11" width="7.140625" hidden="1" customWidth="1"/>
    <col min="12" max="12" width="6.85546875" hidden="1" customWidth="1"/>
    <col min="13" max="13" width="7.42578125" hidden="1" customWidth="1"/>
    <col min="14" max="14" width="6.85546875" style="51" hidden="1" customWidth="1"/>
    <col min="15" max="15" width="9.85546875" style="51" hidden="1" customWidth="1"/>
    <col min="16" max="16" width="7.140625" style="51" hidden="1" customWidth="1"/>
    <col min="17" max="17" width="7.42578125" style="51" hidden="1" customWidth="1"/>
    <col min="18" max="18" width="8.42578125" hidden="1" customWidth="1"/>
    <col min="19" max="19" width="10" hidden="1" customWidth="1"/>
    <col min="20" max="20" width="9.7109375" hidden="1" customWidth="1"/>
    <col min="21" max="21" width="7.140625" hidden="1" customWidth="1"/>
    <col min="22" max="22" width="7.42578125" hidden="1" customWidth="1"/>
    <col min="23" max="23" width="15.28515625" hidden="1" customWidth="1"/>
    <col min="24" max="24" width="9.7109375" hidden="1" customWidth="1"/>
    <col min="25" max="25" width="7.140625" hidden="1" customWidth="1"/>
    <col min="26" max="26" width="13.7109375" hidden="1" customWidth="1"/>
    <col min="27" max="27" width="11.85546875" bestFit="1" customWidth="1"/>
    <col min="28" max="28" width="11" bestFit="1" customWidth="1"/>
    <col min="29" max="29" width="10.7109375" bestFit="1" customWidth="1"/>
    <col min="30" max="30" width="9.140625" bestFit="1" customWidth="1"/>
    <col min="31" max="31" width="8.42578125" bestFit="1" customWidth="1"/>
    <col min="32" max="32" width="3.5703125" bestFit="1" customWidth="1"/>
    <col min="33" max="33" width="9.28515625" bestFit="1" customWidth="1"/>
    <col min="34" max="34" width="14" bestFit="1" customWidth="1"/>
    <col min="36" max="36" width="11.140625" bestFit="1" customWidth="1"/>
    <col min="40" max="40" width="12" bestFit="1" customWidth="1"/>
  </cols>
  <sheetData>
    <row r="1" spans="1:35" ht="18.75" x14ac:dyDescent="0.25">
      <c r="A1" s="132" t="s">
        <v>136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5" ht="86.25" x14ac:dyDescent="0.25">
      <c r="A2" s="1" t="s">
        <v>0</v>
      </c>
      <c r="B2" s="2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144</v>
      </c>
      <c r="J2" s="3" t="s">
        <v>145</v>
      </c>
      <c r="K2" s="3" t="s">
        <v>146</v>
      </c>
      <c r="L2" s="3" t="s">
        <v>147</v>
      </c>
      <c r="M2" s="3" t="s">
        <v>148</v>
      </c>
      <c r="N2" s="3" t="s">
        <v>149</v>
      </c>
      <c r="O2" s="3" t="s">
        <v>150</v>
      </c>
      <c r="P2" s="3" t="s">
        <v>151</v>
      </c>
      <c r="Q2" s="3" t="s">
        <v>152</v>
      </c>
      <c r="R2" s="3" t="s">
        <v>153</v>
      </c>
      <c r="S2" s="4" t="s">
        <v>154</v>
      </c>
      <c r="T2" s="5" t="s">
        <v>155</v>
      </c>
      <c r="U2" s="5" t="s">
        <v>156</v>
      </c>
      <c r="V2" s="6" t="s">
        <v>157</v>
      </c>
      <c r="W2" s="7" t="s">
        <v>158</v>
      </c>
      <c r="X2" s="8" t="s">
        <v>155</v>
      </c>
      <c r="Y2" s="9" t="s">
        <v>159</v>
      </c>
      <c r="Z2" s="10" t="s">
        <v>160</v>
      </c>
      <c r="AA2" s="7" t="s">
        <v>161</v>
      </c>
      <c r="AB2" s="8" t="s">
        <v>162</v>
      </c>
      <c r="AC2" s="9" t="s">
        <v>163</v>
      </c>
      <c r="AD2" s="10" t="s">
        <v>164</v>
      </c>
      <c r="AE2" s="11" t="s">
        <v>165</v>
      </c>
      <c r="AF2" s="12" t="s">
        <v>166</v>
      </c>
      <c r="AG2" s="13" t="s">
        <v>167</v>
      </c>
      <c r="AH2" s="14" t="s">
        <v>168</v>
      </c>
      <c r="AI2" t="s">
        <v>347</v>
      </c>
    </row>
    <row r="3" spans="1:35" ht="31.5" x14ac:dyDescent="0.25">
      <c r="A3" s="15">
        <v>1</v>
      </c>
      <c r="B3" s="15" t="s">
        <v>169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>
        <v>510491</v>
      </c>
      <c r="T3" s="5"/>
      <c r="U3" s="5"/>
      <c r="V3" s="16">
        <f>S3+T3+U3</f>
        <v>510491</v>
      </c>
      <c r="W3" s="17">
        <f>(S3*115%)+(30338+25000)</f>
        <v>642402.64999999991</v>
      </c>
      <c r="X3" s="18">
        <f>(T3+U3)*115%</f>
        <v>0</v>
      </c>
      <c r="Y3" s="19">
        <v>0</v>
      </c>
      <c r="Z3" s="20">
        <f t="shared" ref="Z3:Z19" si="0">W3+X3+Y3</f>
        <v>642402.64999999991</v>
      </c>
      <c r="AA3" s="20">
        <f>W3*126%+82785</f>
        <v>892212.33899999992</v>
      </c>
      <c r="AB3" s="20">
        <f>(X3+Y3)*126%</f>
        <v>0</v>
      </c>
      <c r="AC3" s="20">
        <v>47267</v>
      </c>
      <c r="AD3" s="20">
        <f>AA3+AB3+AC3</f>
        <v>939479.33899999992</v>
      </c>
      <c r="AE3" s="21">
        <f>AD3*336/11</f>
        <v>28696823.445818182</v>
      </c>
      <c r="AF3" s="22">
        <v>1</v>
      </c>
      <c r="AG3" s="23">
        <f>AE3*AF3</f>
        <v>28696823.445818182</v>
      </c>
      <c r="AH3" s="17">
        <f>AG3*123%</f>
        <v>35297092.838356361</v>
      </c>
      <c r="AI3" t="s">
        <v>346</v>
      </c>
    </row>
    <row r="4" spans="1:35" ht="34.5" x14ac:dyDescent="0.25">
      <c r="A4" s="15">
        <v>2</v>
      </c>
      <c r="B4" s="15" t="s">
        <v>170</v>
      </c>
      <c r="C4" s="24">
        <v>276912</v>
      </c>
      <c r="D4" s="24">
        <v>5500</v>
      </c>
      <c r="E4" s="24">
        <f t="shared" ref="E4:E18" si="1">D4*117%</f>
        <v>6435</v>
      </c>
      <c r="F4" s="24">
        <v>11000</v>
      </c>
      <c r="G4" s="24">
        <f t="shared" ref="G4:G19" si="2">(F4+E4)*114%</f>
        <v>19875.899999999998</v>
      </c>
      <c r="H4" s="24">
        <v>11000</v>
      </c>
      <c r="I4" s="25">
        <f>C4+G4+H4</f>
        <v>307787.90000000002</v>
      </c>
      <c r="J4" s="25">
        <f>(H4+G4)*112%</f>
        <v>34581.008000000002</v>
      </c>
      <c r="K4" s="24">
        <v>18000</v>
      </c>
      <c r="L4" s="24">
        <f>C4*112%+6768</f>
        <v>316909.44</v>
      </c>
      <c r="M4" s="25">
        <f>L4+K4+J4</f>
        <v>369490.44799999997</v>
      </c>
      <c r="N4" s="26">
        <f>L4*110.4%+28208</f>
        <v>378076.02176000003</v>
      </c>
      <c r="O4" s="27">
        <f>(J4+K4)*110.4%</f>
        <v>58049.432832000006</v>
      </c>
      <c r="P4" s="26">
        <v>18000</v>
      </c>
      <c r="Q4" s="27">
        <f>P4+N4+O4</f>
        <v>454125.45459200005</v>
      </c>
      <c r="R4" s="22">
        <f t="shared" ref="R4:R19" si="3">Q4*29</f>
        <v>13169638.183168001</v>
      </c>
      <c r="S4" s="4">
        <f>N4*113%+87049</f>
        <v>514274.90458879998</v>
      </c>
      <c r="T4" s="22">
        <f>(O4+P4)*113%</f>
        <v>85935.85910016</v>
      </c>
      <c r="U4" s="22">
        <v>24333</v>
      </c>
      <c r="V4" s="16">
        <f>S4+T4+U4</f>
        <v>624543.76368896</v>
      </c>
      <c r="W4" s="17">
        <f t="shared" ref="W4:W19" si="4">(S4*115%)+(30338+25000)</f>
        <v>646754.14027711994</v>
      </c>
      <c r="X4" s="18">
        <f>(T4+U4)*115%</f>
        <v>126809.18796518398</v>
      </c>
      <c r="Y4" s="19">
        <v>34333</v>
      </c>
      <c r="Z4" s="20">
        <f t="shared" si="0"/>
        <v>807896.32824230392</v>
      </c>
      <c r="AA4" s="20">
        <f t="shared" ref="AA4:AA19" si="5">W4*126%+82785</f>
        <v>897695.21674917114</v>
      </c>
      <c r="AB4" s="20">
        <f t="shared" ref="AB4:AB19" si="6">(X4+Y4)*126%</f>
        <v>203039.15683613182</v>
      </c>
      <c r="AC4" s="20">
        <v>47667</v>
      </c>
      <c r="AD4" s="20">
        <f t="shared" ref="AD4:AD19" si="7">AA4+AB4+AC4</f>
        <v>1148401.3735853028</v>
      </c>
      <c r="AE4" s="21">
        <f t="shared" ref="AE4:AE19" si="8">AD4*336/11</f>
        <v>35078441.956787437</v>
      </c>
      <c r="AF4" s="22">
        <v>1</v>
      </c>
      <c r="AG4" s="23">
        <f>AE4*AF4</f>
        <v>35078441.956787437</v>
      </c>
      <c r="AH4" s="17">
        <f>AG4*123%</f>
        <v>43146483.606848545</v>
      </c>
      <c r="AI4" t="s">
        <v>346</v>
      </c>
    </row>
    <row r="5" spans="1:35" ht="34.5" x14ac:dyDescent="0.25">
      <c r="A5" s="15">
        <v>3</v>
      </c>
      <c r="B5" s="15" t="s">
        <v>171</v>
      </c>
      <c r="C5" s="24">
        <v>278460</v>
      </c>
      <c r="D5" s="24">
        <v>5600</v>
      </c>
      <c r="E5" s="24">
        <f t="shared" si="1"/>
        <v>6552</v>
      </c>
      <c r="F5" s="24">
        <v>11200</v>
      </c>
      <c r="G5" s="24">
        <f t="shared" si="2"/>
        <v>20237.28</v>
      </c>
      <c r="H5" s="24">
        <v>11200</v>
      </c>
      <c r="I5" s="25">
        <f>C5+G5+H5</f>
        <v>309897.28000000003</v>
      </c>
      <c r="J5" s="25">
        <f>(H5+G5)*112%</f>
        <v>35209.753600000004</v>
      </c>
      <c r="K5" s="24">
        <v>18200</v>
      </c>
      <c r="L5" s="24">
        <f>C5*112%+6768</f>
        <v>318643.20000000001</v>
      </c>
      <c r="M5" s="25">
        <f>L5+K5+J5</f>
        <v>372052.95360000001</v>
      </c>
      <c r="N5" s="26">
        <f t="shared" ref="N5:N19" si="9">L5*110.4%+28208</f>
        <v>379990.09280000004</v>
      </c>
      <c r="O5" s="27">
        <f t="shared" ref="O5:O19" si="10">(J5+K5)*110.4%</f>
        <v>58964.367974400011</v>
      </c>
      <c r="P5" s="26">
        <v>18200</v>
      </c>
      <c r="Q5" s="27">
        <f t="shared" ref="Q5:Q19" si="11">P5+N5+O5</f>
        <v>457154.46077440004</v>
      </c>
      <c r="R5" s="22">
        <f t="shared" si="3"/>
        <v>13257479.362457601</v>
      </c>
      <c r="S5" s="4">
        <f t="shared" ref="S5:S19" si="12">N5*113%+87049</f>
        <v>516437.80486400001</v>
      </c>
      <c r="T5" s="22">
        <f t="shared" ref="T5:T19" si="13">(O5+P5)*113%</f>
        <v>87195.735811072009</v>
      </c>
      <c r="U5" s="22">
        <v>24533</v>
      </c>
      <c r="V5" s="16">
        <f t="shared" ref="V5:V19" si="14">S5+T5+U5</f>
        <v>628166.540675072</v>
      </c>
      <c r="W5" s="17">
        <f t="shared" si="4"/>
        <v>649241.47559359996</v>
      </c>
      <c r="X5" s="18">
        <f t="shared" ref="X5:X19" si="15">(T5+U5)*115%</f>
        <v>128488.0461827328</v>
      </c>
      <c r="Y5" s="19">
        <v>34533</v>
      </c>
      <c r="Z5" s="20">
        <f t="shared" si="0"/>
        <v>812262.52177633275</v>
      </c>
      <c r="AA5" s="20">
        <f t="shared" si="5"/>
        <v>900829.25924793596</v>
      </c>
      <c r="AB5" s="20">
        <f t="shared" si="6"/>
        <v>205406.51819024331</v>
      </c>
      <c r="AC5" s="20">
        <v>47867</v>
      </c>
      <c r="AD5" s="20">
        <f t="shared" si="7"/>
        <v>1154102.7774381794</v>
      </c>
      <c r="AE5" s="21">
        <f t="shared" si="8"/>
        <v>35252593.929020755</v>
      </c>
      <c r="AF5" s="22">
        <v>3</v>
      </c>
      <c r="AG5" s="23">
        <f t="shared" ref="AG5:AG43" si="16">AE5*AF5</f>
        <v>105757781.78706226</v>
      </c>
      <c r="AH5" s="17">
        <f t="shared" ref="AH5:AH21" si="17">AG5*123%</f>
        <v>130082071.59808658</v>
      </c>
      <c r="AI5" t="s">
        <v>346</v>
      </c>
    </row>
    <row r="6" spans="1:35" ht="34.5" x14ac:dyDescent="0.25">
      <c r="A6" s="15">
        <v>4</v>
      </c>
      <c r="B6" s="15" t="s">
        <v>172</v>
      </c>
      <c r="C6" s="24">
        <v>280089</v>
      </c>
      <c r="D6" s="24">
        <v>5700</v>
      </c>
      <c r="E6" s="24">
        <f t="shared" si="1"/>
        <v>6669</v>
      </c>
      <c r="F6" s="24">
        <v>11400</v>
      </c>
      <c r="G6" s="24">
        <f t="shared" si="2"/>
        <v>20598.66</v>
      </c>
      <c r="H6" s="24">
        <v>11400</v>
      </c>
      <c r="I6" s="25">
        <f t="shared" ref="I6:I19" si="18">C6+G6+H6</f>
        <v>312087.65999999997</v>
      </c>
      <c r="J6" s="25">
        <f t="shared" ref="J6:J18" si="19">(H6+G6)*112%</f>
        <v>35838.499200000006</v>
      </c>
      <c r="K6" s="24">
        <v>18400</v>
      </c>
      <c r="L6" s="24">
        <f t="shared" ref="L6:L19" si="20">C6*112%+6768</f>
        <v>320467.68000000005</v>
      </c>
      <c r="M6" s="25">
        <f t="shared" ref="M6:M19" si="21">L6+K6+J6</f>
        <v>374706.17920000007</v>
      </c>
      <c r="N6" s="26">
        <f t="shared" si="9"/>
        <v>382004.3187200001</v>
      </c>
      <c r="O6" s="27">
        <f t="shared" si="10"/>
        <v>59879.303116800009</v>
      </c>
      <c r="P6" s="26">
        <v>18400</v>
      </c>
      <c r="Q6" s="27">
        <f t="shared" si="11"/>
        <v>460283.62183680013</v>
      </c>
      <c r="R6" s="22">
        <f t="shared" si="3"/>
        <v>13348225.033267204</v>
      </c>
      <c r="S6" s="4">
        <f t="shared" si="12"/>
        <v>518713.88015360007</v>
      </c>
      <c r="T6" s="22">
        <f t="shared" si="13"/>
        <v>88455.612521983989</v>
      </c>
      <c r="U6" s="22">
        <v>24733</v>
      </c>
      <c r="V6" s="16">
        <f t="shared" si="14"/>
        <v>631902.49267558404</v>
      </c>
      <c r="W6" s="17">
        <f t="shared" si="4"/>
        <v>651858.96217664005</v>
      </c>
      <c r="X6" s="18">
        <f t="shared" si="15"/>
        <v>130166.90440028158</v>
      </c>
      <c r="Y6" s="19">
        <v>34733</v>
      </c>
      <c r="Z6" s="20">
        <f t="shared" si="0"/>
        <v>816758.86657692166</v>
      </c>
      <c r="AA6" s="20">
        <f t="shared" si="5"/>
        <v>904127.29234256642</v>
      </c>
      <c r="AB6" s="20">
        <f t="shared" si="6"/>
        <v>207773.8795443548</v>
      </c>
      <c r="AC6" s="20">
        <v>48067</v>
      </c>
      <c r="AD6" s="20">
        <f t="shared" si="7"/>
        <v>1159968.1718869212</v>
      </c>
      <c r="AE6" s="21">
        <f t="shared" si="8"/>
        <v>35431755.068545952</v>
      </c>
      <c r="AF6" s="22">
        <v>11</v>
      </c>
      <c r="AG6" s="23">
        <f t="shared" si="16"/>
        <v>389749305.75400549</v>
      </c>
      <c r="AH6" s="17">
        <f t="shared" si="17"/>
        <v>479391646.07742673</v>
      </c>
      <c r="AI6" t="s">
        <v>346</v>
      </c>
    </row>
    <row r="7" spans="1:35" ht="34.5" x14ac:dyDescent="0.25">
      <c r="A7" s="15">
        <v>5</v>
      </c>
      <c r="B7" s="15" t="s">
        <v>173</v>
      </c>
      <c r="C7" s="24">
        <v>280089</v>
      </c>
      <c r="D7" s="24"/>
      <c r="E7" s="24"/>
      <c r="F7" s="24">
        <v>11400</v>
      </c>
      <c r="G7" s="24">
        <f>F7*114%</f>
        <v>12995.999999999998</v>
      </c>
      <c r="H7" s="24">
        <v>11400</v>
      </c>
      <c r="I7" s="25">
        <f t="shared" si="18"/>
        <v>304485</v>
      </c>
      <c r="J7" s="25">
        <f>(F7*112%+H7)</f>
        <v>24168</v>
      </c>
      <c r="K7" s="24">
        <v>18400</v>
      </c>
      <c r="L7" s="24">
        <f t="shared" si="20"/>
        <v>320467.68000000005</v>
      </c>
      <c r="M7" s="25">
        <f t="shared" si="21"/>
        <v>363035.68000000005</v>
      </c>
      <c r="N7" s="26">
        <f t="shared" si="9"/>
        <v>382004.3187200001</v>
      </c>
      <c r="O7" s="27">
        <f t="shared" si="10"/>
        <v>46995.072000000007</v>
      </c>
      <c r="P7" s="26">
        <v>18400</v>
      </c>
      <c r="Q7" s="27">
        <f t="shared" si="11"/>
        <v>447399.39072000008</v>
      </c>
      <c r="R7" s="22">
        <f t="shared" si="3"/>
        <v>12974582.330880003</v>
      </c>
      <c r="S7" s="4">
        <f t="shared" si="12"/>
        <v>518713.88015360007</v>
      </c>
      <c r="T7" s="22">
        <f t="shared" si="13"/>
        <v>73896.431360000002</v>
      </c>
      <c r="U7" s="22">
        <v>24733</v>
      </c>
      <c r="V7" s="16">
        <f t="shared" si="14"/>
        <v>617343.31151360006</v>
      </c>
      <c r="W7" s="17">
        <f t="shared" si="4"/>
        <v>651858.96217664005</v>
      </c>
      <c r="X7" s="18">
        <f t="shared" si="15"/>
        <v>113423.846064</v>
      </c>
      <c r="Y7" s="19">
        <v>34733</v>
      </c>
      <c r="Z7" s="20">
        <f t="shared" si="0"/>
        <v>800015.80824064009</v>
      </c>
      <c r="AA7" s="20">
        <f t="shared" si="5"/>
        <v>904127.29234256642</v>
      </c>
      <c r="AB7" s="20">
        <f t="shared" si="6"/>
        <v>186677.62604063997</v>
      </c>
      <c r="AC7" s="20">
        <v>48067</v>
      </c>
      <c r="AD7" s="20">
        <f t="shared" si="7"/>
        <v>1138871.9183832065</v>
      </c>
      <c r="AE7" s="21">
        <f t="shared" si="8"/>
        <v>34787360.416068852</v>
      </c>
      <c r="AF7" s="22">
        <v>1</v>
      </c>
      <c r="AG7" s="23">
        <f t="shared" si="16"/>
        <v>34787360.416068852</v>
      </c>
      <c r="AH7" s="17">
        <f t="shared" si="17"/>
        <v>42788453.311764687</v>
      </c>
      <c r="AI7" t="s">
        <v>346</v>
      </c>
    </row>
    <row r="8" spans="1:35" ht="34.5" x14ac:dyDescent="0.25">
      <c r="A8" s="15">
        <v>6</v>
      </c>
      <c r="B8" s="15" t="s">
        <v>174</v>
      </c>
      <c r="C8" s="24">
        <v>280089</v>
      </c>
      <c r="D8" s="24"/>
      <c r="E8" s="24"/>
      <c r="F8" s="24"/>
      <c r="G8" s="24"/>
      <c r="H8" s="24">
        <v>11200</v>
      </c>
      <c r="I8" s="25"/>
      <c r="J8" s="25">
        <f>H8</f>
        <v>11200</v>
      </c>
      <c r="K8" s="24">
        <v>18200</v>
      </c>
      <c r="L8" s="24">
        <f>C8*112%+6768</f>
        <v>320467.68000000005</v>
      </c>
      <c r="M8" s="25">
        <f>L8+K8+J8</f>
        <v>349867.68000000005</v>
      </c>
      <c r="N8" s="26">
        <f t="shared" si="9"/>
        <v>382004.3187200001</v>
      </c>
      <c r="O8" s="27">
        <f t="shared" si="10"/>
        <v>32457.600000000002</v>
      </c>
      <c r="P8" s="26">
        <v>18400</v>
      </c>
      <c r="Q8" s="27">
        <f t="shared" si="11"/>
        <v>432861.91872000007</v>
      </c>
      <c r="R8" s="22">
        <f t="shared" si="3"/>
        <v>12552995.642880002</v>
      </c>
      <c r="S8" s="4">
        <f t="shared" si="12"/>
        <v>518713.88015360007</v>
      </c>
      <c r="T8" s="22">
        <f t="shared" si="13"/>
        <v>57469.088000000003</v>
      </c>
      <c r="U8" s="22">
        <v>24733</v>
      </c>
      <c r="V8" s="16">
        <f t="shared" si="14"/>
        <v>600915.96815360012</v>
      </c>
      <c r="W8" s="17">
        <f t="shared" si="4"/>
        <v>651858.96217664005</v>
      </c>
      <c r="X8" s="18">
        <f t="shared" si="15"/>
        <v>94532.401199999993</v>
      </c>
      <c r="Y8" s="19">
        <v>34733</v>
      </c>
      <c r="Z8" s="20">
        <f t="shared" si="0"/>
        <v>781124.36337664002</v>
      </c>
      <c r="AA8" s="20">
        <f t="shared" si="5"/>
        <v>904127.29234256642</v>
      </c>
      <c r="AB8" s="20">
        <f t="shared" si="6"/>
        <v>162874.405512</v>
      </c>
      <c r="AC8" s="20">
        <v>48067</v>
      </c>
      <c r="AD8" s="20">
        <f t="shared" si="7"/>
        <v>1115068.6978545664</v>
      </c>
      <c r="AE8" s="21">
        <f t="shared" si="8"/>
        <v>34060280.225375846</v>
      </c>
      <c r="AF8" s="22">
        <v>1</v>
      </c>
      <c r="AG8" s="23">
        <f t="shared" si="16"/>
        <v>34060280.225375846</v>
      </c>
      <c r="AH8" s="17">
        <f t="shared" si="17"/>
        <v>41894144.67721229</v>
      </c>
      <c r="AI8" t="s">
        <v>346</v>
      </c>
    </row>
    <row r="9" spans="1:35" ht="34.5" x14ac:dyDescent="0.25">
      <c r="A9" s="15">
        <v>7</v>
      </c>
      <c r="B9" s="15" t="s">
        <v>175</v>
      </c>
      <c r="C9" s="24">
        <v>280089</v>
      </c>
      <c r="D9" s="24"/>
      <c r="E9" s="24"/>
      <c r="F9" s="24"/>
      <c r="G9" s="24"/>
      <c r="H9" s="24">
        <v>0</v>
      </c>
      <c r="I9" s="25"/>
      <c r="J9" s="25">
        <v>0</v>
      </c>
      <c r="K9" s="24">
        <v>18200</v>
      </c>
      <c r="L9" s="24">
        <f>C9*112%+6768</f>
        <v>320467.68000000005</v>
      </c>
      <c r="M9" s="25">
        <f>L9+K9+J9</f>
        <v>338667.68000000005</v>
      </c>
      <c r="N9" s="26">
        <f t="shared" si="9"/>
        <v>382004.3187200001</v>
      </c>
      <c r="O9" s="27">
        <f t="shared" si="10"/>
        <v>20092.800000000003</v>
      </c>
      <c r="P9" s="26">
        <v>18400</v>
      </c>
      <c r="Q9" s="27">
        <f t="shared" si="11"/>
        <v>420497.11872000009</v>
      </c>
      <c r="R9" s="22">
        <f t="shared" si="3"/>
        <v>12194416.442880003</v>
      </c>
      <c r="S9" s="4">
        <f t="shared" si="12"/>
        <v>518713.88015360007</v>
      </c>
      <c r="T9" s="22">
        <f t="shared" si="13"/>
        <v>43496.864000000001</v>
      </c>
      <c r="U9" s="22">
        <v>24733</v>
      </c>
      <c r="V9" s="16">
        <f t="shared" si="14"/>
        <v>586943.74415360007</v>
      </c>
      <c r="W9" s="17">
        <f t="shared" si="4"/>
        <v>651858.96217664005</v>
      </c>
      <c r="X9" s="18">
        <f t="shared" si="15"/>
        <v>78464.343599999993</v>
      </c>
      <c r="Y9" s="19">
        <v>34733</v>
      </c>
      <c r="Z9" s="20">
        <f t="shared" si="0"/>
        <v>765056.30577664007</v>
      </c>
      <c r="AA9" s="20">
        <f t="shared" si="5"/>
        <v>904127.29234256642</v>
      </c>
      <c r="AB9" s="20">
        <f t="shared" si="6"/>
        <v>142628.652936</v>
      </c>
      <c r="AC9" s="20">
        <v>48067</v>
      </c>
      <c r="AD9" s="20">
        <f t="shared" si="7"/>
        <v>1094822.9452785663</v>
      </c>
      <c r="AE9" s="21">
        <f t="shared" si="8"/>
        <v>33441864.510327116</v>
      </c>
      <c r="AF9" s="22">
        <v>1</v>
      </c>
      <c r="AG9" s="23">
        <f t="shared" si="16"/>
        <v>33441864.510327116</v>
      </c>
      <c r="AH9" s="17">
        <f t="shared" si="17"/>
        <v>41133493.347702354</v>
      </c>
      <c r="AI9" t="s">
        <v>346</v>
      </c>
    </row>
    <row r="10" spans="1:35" ht="34.5" x14ac:dyDescent="0.25">
      <c r="A10" s="15">
        <v>8</v>
      </c>
      <c r="B10" s="15" t="s">
        <v>176</v>
      </c>
      <c r="C10" s="24">
        <v>281943</v>
      </c>
      <c r="D10" s="24">
        <v>5800</v>
      </c>
      <c r="E10" s="24">
        <f t="shared" si="1"/>
        <v>6786</v>
      </c>
      <c r="F10" s="24">
        <v>11600</v>
      </c>
      <c r="G10" s="24">
        <f t="shared" si="2"/>
        <v>20960.039999999997</v>
      </c>
      <c r="H10" s="24">
        <v>11600</v>
      </c>
      <c r="I10" s="25">
        <f t="shared" si="18"/>
        <v>314503.03999999998</v>
      </c>
      <c r="J10" s="25">
        <f t="shared" si="19"/>
        <v>36467.2448</v>
      </c>
      <c r="K10" s="24">
        <v>18600</v>
      </c>
      <c r="L10" s="24">
        <f t="shared" si="20"/>
        <v>322544.16000000003</v>
      </c>
      <c r="M10" s="25">
        <f t="shared" si="21"/>
        <v>377611.40480000002</v>
      </c>
      <c r="N10" s="26">
        <f t="shared" si="9"/>
        <v>384296.75264000008</v>
      </c>
      <c r="O10" s="27">
        <f t="shared" si="10"/>
        <v>60794.238259200007</v>
      </c>
      <c r="P10" s="26">
        <v>18600</v>
      </c>
      <c r="Q10" s="27">
        <f t="shared" si="11"/>
        <v>463690.99089920009</v>
      </c>
      <c r="R10" s="22">
        <f t="shared" si="3"/>
        <v>13447038.736076802</v>
      </c>
      <c r="S10" s="4">
        <f t="shared" si="12"/>
        <v>521304.33048320003</v>
      </c>
      <c r="T10" s="22">
        <f t="shared" si="13"/>
        <v>89715.489232895998</v>
      </c>
      <c r="U10" s="22">
        <v>24933</v>
      </c>
      <c r="V10" s="16">
        <f t="shared" si="14"/>
        <v>635952.81971609604</v>
      </c>
      <c r="W10" s="17">
        <f t="shared" si="4"/>
        <v>654837.98005568003</v>
      </c>
      <c r="X10" s="18">
        <f t="shared" si="15"/>
        <v>131845.76261783039</v>
      </c>
      <c r="Y10" s="19">
        <v>34933</v>
      </c>
      <c r="Z10" s="20">
        <f t="shared" si="0"/>
        <v>821616.74267351045</v>
      </c>
      <c r="AA10" s="20">
        <f t="shared" si="5"/>
        <v>907880.85487015685</v>
      </c>
      <c r="AB10" s="20">
        <f t="shared" si="6"/>
        <v>210141.24089846629</v>
      </c>
      <c r="AC10" s="20">
        <v>48267</v>
      </c>
      <c r="AD10" s="20">
        <f t="shared" si="7"/>
        <v>1166289.0957686231</v>
      </c>
      <c r="AE10" s="21">
        <f t="shared" si="8"/>
        <v>35624830.561659761</v>
      </c>
      <c r="AF10" s="22">
        <v>2</v>
      </c>
      <c r="AG10" s="23">
        <f t="shared" si="16"/>
        <v>71249661.123319522</v>
      </c>
      <c r="AH10" s="17">
        <f t="shared" si="17"/>
        <v>87637083.181683004</v>
      </c>
      <c r="AI10" t="s">
        <v>346</v>
      </c>
    </row>
    <row r="11" spans="1:35" ht="17.25" x14ac:dyDescent="0.25">
      <c r="A11" s="15">
        <v>9</v>
      </c>
      <c r="B11" s="15" t="s">
        <v>177</v>
      </c>
      <c r="C11" s="24">
        <v>286199</v>
      </c>
      <c r="D11" s="24">
        <v>6000</v>
      </c>
      <c r="E11" s="24">
        <f t="shared" si="1"/>
        <v>7020</v>
      </c>
      <c r="F11" s="24">
        <v>12000</v>
      </c>
      <c r="G11" s="24">
        <f t="shared" si="2"/>
        <v>21682.799999999999</v>
      </c>
      <c r="H11" s="24">
        <v>12000</v>
      </c>
      <c r="I11" s="25">
        <f t="shared" si="18"/>
        <v>319881.8</v>
      </c>
      <c r="J11" s="25">
        <f t="shared" si="19"/>
        <v>37724.736000000004</v>
      </c>
      <c r="K11" s="24">
        <v>19000</v>
      </c>
      <c r="L11" s="24">
        <f t="shared" si="20"/>
        <v>327310.88</v>
      </c>
      <c r="M11" s="25">
        <f t="shared" si="21"/>
        <v>384035.61600000004</v>
      </c>
      <c r="N11" s="26">
        <f t="shared" si="9"/>
        <v>389559.21152000001</v>
      </c>
      <c r="O11" s="27">
        <f t="shared" si="10"/>
        <v>62624.10854400001</v>
      </c>
      <c r="P11" s="26">
        <v>19000</v>
      </c>
      <c r="Q11" s="27">
        <f t="shared" si="11"/>
        <v>471183.32006400003</v>
      </c>
      <c r="R11" s="22">
        <f t="shared" si="3"/>
        <v>13664316.281856</v>
      </c>
      <c r="S11" s="4">
        <f t="shared" si="12"/>
        <v>527250.90901759989</v>
      </c>
      <c r="T11" s="22">
        <f t="shared" si="13"/>
        <v>92235.242654720016</v>
      </c>
      <c r="U11" s="28">
        <v>25333</v>
      </c>
      <c r="V11" s="16">
        <f t="shared" si="14"/>
        <v>644819.15167231986</v>
      </c>
      <c r="W11" s="17">
        <f t="shared" si="4"/>
        <v>661676.54537023976</v>
      </c>
      <c r="X11" s="18">
        <f t="shared" si="15"/>
        <v>135203.47905292801</v>
      </c>
      <c r="Y11" s="19">
        <v>35333</v>
      </c>
      <c r="Z11" s="20">
        <f t="shared" si="0"/>
        <v>832213.02442316781</v>
      </c>
      <c r="AA11" s="20">
        <f t="shared" si="5"/>
        <v>916497.44716650213</v>
      </c>
      <c r="AB11" s="20">
        <f t="shared" si="6"/>
        <v>214875.9636066893</v>
      </c>
      <c r="AC11" s="20">
        <v>48667</v>
      </c>
      <c r="AD11" s="20">
        <f t="shared" si="7"/>
        <v>1180040.4107731914</v>
      </c>
      <c r="AE11" s="21">
        <f t="shared" si="8"/>
        <v>36044870.729072027</v>
      </c>
      <c r="AF11" s="28">
        <v>1</v>
      </c>
      <c r="AG11" s="23">
        <f t="shared" si="16"/>
        <v>36044870.729072027</v>
      </c>
      <c r="AH11" s="17">
        <f t="shared" si="17"/>
        <v>44335190.996758595</v>
      </c>
      <c r="AI11" t="s">
        <v>346</v>
      </c>
    </row>
    <row r="12" spans="1:35" ht="31.5" x14ac:dyDescent="0.25">
      <c r="A12" s="15">
        <v>10</v>
      </c>
      <c r="B12" s="15" t="s">
        <v>178</v>
      </c>
      <c r="C12" s="24">
        <v>286199</v>
      </c>
      <c r="D12" s="24"/>
      <c r="E12" s="24">
        <v>0</v>
      </c>
      <c r="F12" s="24">
        <v>12000</v>
      </c>
      <c r="G12" s="24">
        <f t="shared" si="2"/>
        <v>13679.999999999998</v>
      </c>
      <c r="H12" s="24">
        <v>12000</v>
      </c>
      <c r="I12" s="25">
        <f t="shared" si="18"/>
        <v>311879</v>
      </c>
      <c r="J12" s="25">
        <f t="shared" si="19"/>
        <v>28761.600000000002</v>
      </c>
      <c r="K12" s="24">
        <v>19000</v>
      </c>
      <c r="L12" s="24">
        <f t="shared" si="20"/>
        <v>327310.88</v>
      </c>
      <c r="M12" s="25">
        <f t="shared" si="21"/>
        <v>375072.48</v>
      </c>
      <c r="N12" s="26">
        <f t="shared" si="9"/>
        <v>389559.21152000001</v>
      </c>
      <c r="O12" s="27">
        <f t="shared" si="10"/>
        <v>52728.806400000009</v>
      </c>
      <c r="P12" s="26">
        <v>19000</v>
      </c>
      <c r="Q12" s="27">
        <f t="shared" si="11"/>
        <v>461288.01792000001</v>
      </c>
      <c r="R12" s="22">
        <f t="shared" si="3"/>
        <v>13377352.519680001</v>
      </c>
      <c r="S12" s="4">
        <f t="shared" si="12"/>
        <v>527250.90901759989</v>
      </c>
      <c r="T12" s="22">
        <f t="shared" si="13"/>
        <v>81053.551231999998</v>
      </c>
      <c r="U12" s="28">
        <v>25333</v>
      </c>
      <c r="V12" s="16">
        <f t="shared" si="14"/>
        <v>633637.46024959988</v>
      </c>
      <c r="W12" s="17">
        <f t="shared" si="4"/>
        <v>661676.54537023976</v>
      </c>
      <c r="X12" s="18">
        <f t="shared" si="15"/>
        <v>122344.53391679999</v>
      </c>
      <c r="Y12" s="19">
        <v>35333</v>
      </c>
      <c r="Z12" s="20">
        <f t="shared" si="0"/>
        <v>819354.07928703981</v>
      </c>
      <c r="AA12" s="20">
        <f t="shared" si="5"/>
        <v>916497.44716650213</v>
      </c>
      <c r="AB12" s="20">
        <f t="shared" si="6"/>
        <v>198673.69273516798</v>
      </c>
      <c r="AC12" s="20">
        <v>48667</v>
      </c>
      <c r="AD12" s="20">
        <f t="shared" si="7"/>
        <v>1163838.1399016702</v>
      </c>
      <c r="AE12" s="21">
        <f t="shared" si="8"/>
        <v>35549965.00063283</v>
      </c>
      <c r="AF12" s="22">
        <v>2</v>
      </c>
      <c r="AG12" s="23">
        <f t="shared" si="16"/>
        <v>71099930.00126566</v>
      </c>
      <c r="AH12" s="17">
        <f t="shared" si="17"/>
        <v>87452913.90155676</v>
      </c>
      <c r="AI12" t="s">
        <v>346</v>
      </c>
    </row>
    <row r="13" spans="1:35" ht="31.5" x14ac:dyDescent="0.25">
      <c r="A13" s="15">
        <v>11</v>
      </c>
      <c r="B13" s="15" t="s">
        <v>179</v>
      </c>
      <c r="C13" s="24">
        <v>286199</v>
      </c>
      <c r="D13" s="24"/>
      <c r="E13" s="24"/>
      <c r="F13" s="24"/>
      <c r="G13" s="24">
        <f t="shared" si="2"/>
        <v>0</v>
      </c>
      <c r="H13" s="24"/>
      <c r="I13" s="25">
        <f t="shared" si="18"/>
        <v>286199</v>
      </c>
      <c r="J13" s="25">
        <f t="shared" si="19"/>
        <v>0</v>
      </c>
      <c r="K13" s="24">
        <v>19000</v>
      </c>
      <c r="L13" s="24">
        <f t="shared" si="20"/>
        <v>327310.88</v>
      </c>
      <c r="M13" s="25">
        <f t="shared" si="21"/>
        <v>346310.88</v>
      </c>
      <c r="N13" s="26">
        <f t="shared" si="9"/>
        <v>389559.21152000001</v>
      </c>
      <c r="O13" s="27">
        <f t="shared" si="10"/>
        <v>20976</v>
      </c>
      <c r="P13" s="26">
        <v>19000</v>
      </c>
      <c r="Q13" s="27">
        <f t="shared" si="11"/>
        <v>429535.21152000001</v>
      </c>
      <c r="R13" s="22">
        <f t="shared" si="3"/>
        <v>12456521.13408</v>
      </c>
      <c r="S13" s="4">
        <f t="shared" si="12"/>
        <v>527250.90901759989</v>
      </c>
      <c r="T13" s="22">
        <f t="shared" si="13"/>
        <v>45172.88</v>
      </c>
      <c r="U13" s="28">
        <v>25333</v>
      </c>
      <c r="V13" s="16">
        <f t="shared" si="14"/>
        <v>597756.78901759989</v>
      </c>
      <c r="W13" s="17">
        <f t="shared" si="4"/>
        <v>661676.54537023976</v>
      </c>
      <c r="X13" s="18">
        <f t="shared" si="15"/>
        <v>81081.762000000002</v>
      </c>
      <c r="Y13" s="19">
        <v>35333</v>
      </c>
      <c r="Z13" s="20">
        <f t="shared" si="0"/>
        <v>778091.30737023975</v>
      </c>
      <c r="AA13" s="20">
        <f t="shared" si="5"/>
        <v>916497.44716650213</v>
      </c>
      <c r="AB13" s="20">
        <f t="shared" si="6"/>
        <v>146682.60012000002</v>
      </c>
      <c r="AC13" s="20">
        <v>48667</v>
      </c>
      <c r="AD13" s="20">
        <f t="shared" si="7"/>
        <v>1111847.0472865021</v>
      </c>
      <c r="AE13" s="21">
        <f t="shared" si="8"/>
        <v>33961873.444387704</v>
      </c>
      <c r="AF13" s="22">
        <v>1</v>
      </c>
      <c r="AG13" s="23">
        <f t="shared" si="16"/>
        <v>33961873.444387704</v>
      </c>
      <c r="AH13" s="17">
        <f t="shared" si="17"/>
        <v>41773104.336596876</v>
      </c>
      <c r="AI13" t="s">
        <v>346</v>
      </c>
    </row>
    <row r="14" spans="1:35" ht="17.25" x14ac:dyDescent="0.25">
      <c r="A14" s="15">
        <v>12</v>
      </c>
      <c r="B14" s="15" t="s">
        <v>180</v>
      </c>
      <c r="C14" s="24"/>
      <c r="D14" s="24"/>
      <c r="E14" s="24"/>
      <c r="F14" s="24"/>
      <c r="G14" s="24"/>
      <c r="H14" s="24"/>
      <c r="I14" s="25"/>
      <c r="J14" s="25"/>
      <c r="K14" s="24"/>
      <c r="L14" s="24"/>
      <c r="M14" s="25"/>
      <c r="N14" s="26"/>
      <c r="O14" s="27"/>
      <c r="P14" s="26"/>
      <c r="Q14" s="27"/>
      <c r="R14" s="22"/>
      <c r="S14" s="4"/>
      <c r="T14" s="22"/>
      <c r="U14" s="28"/>
      <c r="V14" s="16"/>
      <c r="W14" s="17">
        <v>661677</v>
      </c>
      <c r="X14" s="18">
        <v>0</v>
      </c>
      <c r="Y14" s="19">
        <v>0</v>
      </c>
      <c r="Z14" s="20">
        <f t="shared" si="0"/>
        <v>661677</v>
      </c>
      <c r="AA14" s="20">
        <f t="shared" si="5"/>
        <v>916498.02</v>
      </c>
      <c r="AB14" s="20">
        <f t="shared" si="6"/>
        <v>0</v>
      </c>
      <c r="AC14" s="20">
        <v>48667</v>
      </c>
      <c r="AD14" s="20">
        <f t="shared" si="7"/>
        <v>965165.02</v>
      </c>
      <c r="AE14" s="21">
        <f t="shared" si="8"/>
        <v>29481404.24727273</v>
      </c>
      <c r="AF14" s="22">
        <v>1</v>
      </c>
      <c r="AG14" s="23">
        <f t="shared" si="16"/>
        <v>29481404.24727273</v>
      </c>
      <c r="AH14" s="17">
        <f t="shared" si="17"/>
        <v>36262127.224145457</v>
      </c>
      <c r="AI14" t="s">
        <v>346</v>
      </c>
    </row>
    <row r="15" spans="1:35" ht="34.5" x14ac:dyDescent="0.25">
      <c r="A15" s="15">
        <v>13</v>
      </c>
      <c r="B15" s="15" t="s">
        <v>181</v>
      </c>
      <c r="C15" s="24">
        <v>288523</v>
      </c>
      <c r="D15" s="24"/>
      <c r="E15" s="24"/>
      <c r="F15" s="24">
        <v>12400</v>
      </c>
      <c r="G15" s="24">
        <f t="shared" si="2"/>
        <v>14135.999999999998</v>
      </c>
      <c r="H15" s="24">
        <v>12400</v>
      </c>
      <c r="I15" s="25">
        <f t="shared" si="18"/>
        <v>315059</v>
      </c>
      <c r="J15" s="25">
        <f t="shared" si="19"/>
        <v>29720.320000000003</v>
      </c>
      <c r="K15" s="24">
        <v>19400</v>
      </c>
      <c r="L15" s="24">
        <f t="shared" si="20"/>
        <v>329913.76</v>
      </c>
      <c r="M15" s="25">
        <f t="shared" si="21"/>
        <v>379034.08</v>
      </c>
      <c r="N15" s="26">
        <f t="shared" si="9"/>
        <v>392432.79104000004</v>
      </c>
      <c r="O15" s="27">
        <f t="shared" si="10"/>
        <v>54228.833280000013</v>
      </c>
      <c r="P15" s="26">
        <v>19400</v>
      </c>
      <c r="Q15" s="27">
        <f t="shared" si="11"/>
        <v>466061.62432000006</v>
      </c>
      <c r="R15" s="22">
        <f t="shared" si="3"/>
        <v>13515787.105280003</v>
      </c>
      <c r="S15" s="4">
        <f t="shared" si="12"/>
        <v>530498.05387519998</v>
      </c>
      <c r="T15" s="22">
        <f t="shared" si="13"/>
        <v>83200.58160640001</v>
      </c>
      <c r="U15" s="22">
        <v>25733</v>
      </c>
      <c r="V15" s="16">
        <f t="shared" si="14"/>
        <v>639431.63548159995</v>
      </c>
      <c r="W15" s="17">
        <f t="shared" si="4"/>
        <v>665410.76195647998</v>
      </c>
      <c r="X15" s="18">
        <f t="shared" si="15"/>
        <v>125273.61884736001</v>
      </c>
      <c r="Y15" s="19">
        <v>35733</v>
      </c>
      <c r="Z15" s="20">
        <f t="shared" si="0"/>
        <v>826417.38080384</v>
      </c>
      <c r="AA15" s="20">
        <f t="shared" si="5"/>
        <v>921202.56006516481</v>
      </c>
      <c r="AB15" s="20">
        <f t="shared" si="6"/>
        <v>202868.33974767363</v>
      </c>
      <c r="AC15" s="20">
        <v>4967</v>
      </c>
      <c r="AD15" s="20">
        <f t="shared" si="7"/>
        <v>1129037.8998128385</v>
      </c>
      <c r="AE15" s="21">
        <f t="shared" si="8"/>
        <v>34486975.848828524</v>
      </c>
      <c r="AF15" s="22">
        <v>1</v>
      </c>
      <c r="AG15" s="23">
        <f t="shared" si="16"/>
        <v>34486975.848828524</v>
      </c>
      <c r="AH15" s="17">
        <f t="shared" si="17"/>
        <v>42418980.294059083</v>
      </c>
      <c r="AI15" t="s">
        <v>346</v>
      </c>
    </row>
    <row r="16" spans="1:35" ht="34.5" x14ac:dyDescent="0.25">
      <c r="A16" s="15">
        <v>14</v>
      </c>
      <c r="B16" s="15" t="s">
        <v>182</v>
      </c>
      <c r="C16" s="24">
        <v>288523</v>
      </c>
      <c r="D16" s="24"/>
      <c r="E16" s="24"/>
      <c r="F16" s="24"/>
      <c r="G16" s="24">
        <v>0</v>
      </c>
      <c r="H16" s="24">
        <v>12400</v>
      </c>
      <c r="I16" s="25"/>
      <c r="J16" s="25">
        <f t="shared" si="19"/>
        <v>13888.000000000002</v>
      </c>
      <c r="K16" s="24">
        <v>19400</v>
      </c>
      <c r="L16" s="24">
        <f t="shared" si="20"/>
        <v>329913.76</v>
      </c>
      <c r="M16" s="25">
        <f t="shared" si="21"/>
        <v>363201.76</v>
      </c>
      <c r="N16" s="26">
        <f t="shared" si="9"/>
        <v>392432.79104000004</v>
      </c>
      <c r="O16" s="27">
        <f t="shared" si="10"/>
        <v>36749.952000000005</v>
      </c>
      <c r="P16" s="26">
        <v>19400</v>
      </c>
      <c r="Q16" s="27">
        <f t="shared" si="11"/>
        <v>448582.74304000003</v>
      </c>
      <c r="R16" s="22">
        <f t="shared" si="3"/>
        <v>13008899.548160002</v>
      </c>
      <c r="S16" s="4">
        <f t="shared" si="12"/>
        <v>530498.05387519998</v>
      </c>
      <c r="T16" s="22">
        <f t="shared" si="13"/>
        <v>63449.445760000002</v>
      </c>
      <c r="U16" s="22">
        <v>25733</v>
      </c>
      <c r="V16" s="16">
        <f t="shared" si="14"/>
        <v>619680.49963520002</v>
      </c>
      <c r="W16" s="17">
        <f t="shared" si="4"/>
        <v>665410.76195647998</v>
      </c>
      <c r="X16" s="18">
        <f t="shared" si="15"/>
        <v>102559.812624</v>
      </c>
      <c r="Y16" s="19">
        <v>35733</v>
      </c>
      <c r="Z16" s="20">
        <f t="shared" si="0"/>
        <v>803703.57458048</v>
      </c>
      <c r="AA16" s="20">
        <f t="shared" si="5"/>
        <v>921202.56006516481</v>
      </c>
      <c r="AB16" s="20">
        <f t="shared" si="6"/>
        <v>174248.94390624002</v>
      </c>
      <c r="AC16" s="20">
        <v>4967</v>
      </c>
      <c r="AD16" s="20">
        <f t="shared" si="7"/>
        <v>1100418.5039714049</v>
      </c>
      <c r="AE16" s="21">
        <f t="shared" si="8"/>
        <v>33612783.394035637</v>
      </c>
      <c r="AF16" s="22">
        <v>1</v>
      </c>
      <c r="AG16" s="23">
        <f t="shared" si="16"/>
        <v>33612783.394035637</v>
      </c>
      <c r="AH16" s="17">
        <f t="shared" si="17"/>
        <v>41343723.574663833</v>
      </c>
      <c r="AI16" t="s">
        <v>346</v>
      </c>
    </row>
    <row r="17" spans="1:35" ht="34.5" x14ac:dyDescent="0.25">
      <c r="A17" s="15">
        <v>15</v>
      </c>
      <c r="B17" s="15" t="s">
        <v>183</v>
      </c>
      <c r="C17" s="24">
        <v>290846</v>
      </c>
      <c r="D17" s="24">
        <v>6400</v>
      </c>
      <c r="E17" s="24">
        <f t="shared" si="1"/>
        <v>7488</v>
      </c>
      <c r="F17" s="24">
        <v>12800</v>
      </c>
      <c r="G17" s="24">
        <f t="shared" si="2"/>
        <v>23128.32</v>
      </c>
      <c r="H17" s="24">
        <v>12800</v>
      </c>
      <c r="I17" s="25">
        <f t="shared" si="18"/>
        <v>326774.32</v>
      </c>
      <c r="J17" s="25">
        <f t="shared" si="19"/>
        <v>40239.718400000005</v>
      </c>
      <c r="K17" s="24">
        <v>19800</v>
      </c>
      <c r="L17" s="24">
        <f t="shared" si="20"/>
        <v>332515.52</v>
      </c>
      <c r="M17" s="25">
        <f t="shared" si="21"/>
        <v>392555.23840000003</v>
      </c>
      <c r="N17" s="26">
        <f t="shared" si="9"/>
        <v>395305.13408000005</v>
      </c>
      <c r="O17" s="27">
        <f t="shared" si="10"/>
        <v>66283.849113600008</v>
      </c>
      <c r="P17" s="26">
        <v>19800</v>
      </c>
      <c r="Q17" s="27">
        <f t="shared" si="11"/>
        <v>481388.98319360008</v>
      </c>
      <c r="R17" s="22">
        <f t="shared" si="3"/>
        <v>13960280.512614403</v>
      </c>
      <c r="S17" s="4">
        <f t="shared" si="12"/>
        <v>533743.80151040002</v>
      </c>
      <c r="T17" s="22">
        <f t="shared" si="13"/>
        <v>97274.749498367994</v>
      </c>
      <c r="U17" s="22">
        <v>26133</v>
      </c>
      <c r="V17" s="16">
        <f t="shared" si="14"/>
        <v>657151.55100876803</v>
      </c>
      <c r="W17" s="17">
        <f t="shared" si="4"/>
        <v>669143.37173696002</v>
      </c>
      <c r="X17" s="18">
        <f t="shared" si="15"/>
        <v>141918.91192312317</v>
      </c>
      <c r="Y17" s="19">
        <v>36133</v>
      </c>
      <c r="Z17" s="20">
        <f t="shared" si="0"/>
        <v>847195.28366008319</v>
      </c>
      <c r="AA17" s="20">
        <f t="shared" si="5"/>
        <v>925905.64838856959</v>
      </c>
      <c r="AB17" s="20">
        <f t="shared" si="6"/>
        <v>224345.4090231352</v>
      </c>
      <c r="AC17" s="20">
        <v>49467</v>
      </c>
      <c r="AD17" s="20">
        <f t="shared" si="7"/>
        <v>1199718.0574117047</v>
      </c>
      <c r="AE17" s="21">
        <f t="shared" si="8"/>
        <v>36645933.390030257</v>
      </c>
      <c r="AF17" s="22">
        <v>2</v>
      </c>
      <c r="AG17" s="23">
        <f t="shared" si="16"/>
        <v>73291866.780060515</v>
      </c>
      <c r="AH17" s="17">
        <f t="shared" si="17"/>
        <v>90148996.139474437</v>
      </c>
      <c r="AI17" t="s">
        <v>346</v>
      </c>
    </row>
    <row r="18" spans="1:35" ht="34.5" x14ac:dyDescent="0.25">
      <c r="A18" s="15">
        <v>16</v>
      </c>
      <c r="B18" s="15" t="s">
        <v>184</v>
      </c>
      <c r="C18" s="24">
        <v>293938</v>
      </c>
      <c r="D18" s="24">
        <v>6600</v>
      </c>
      <c r="E18" s="24">
        <f t="shared" si="1"/>
        <v>7721.9999999999991</v>
      </c>
      <c r="F18" s="24">
        <v>13200</v>
      </c>
      <c r="G18" s="24">
        <f t="shared" si="2"/>
        <v>23851.079999999998</v>
      </c>
      <c r="H18" s="24">
        <v>13200</v>
      </c>
      <c r="I18" s="25">
        <f t="shared" si="18"/>
        <v>330989.08</v>
      </c>
      <c r="J18" s="25">
        <f t="shared" si="19"/>
        <v>41497.209600000009</v>
      </c>
      <c r="K18" s="24">
        <v>20200</v>
      </c>
      <c r="L18" s="24">
        <f t="shared" si="20"/>
        <v>335978.56000000006</v>
      </c>
      <c r="M18" s="25">
        <f t="shared" si="21"/>
        <v>397675.76960000006</v>
      </c>
      <c r="N18" s="26">
        <f t="shared" si="9"/>
        <v>399128.3302400001</v>
      </c>
      <c r="O18" s="27">
        <f t="shared" si="10"/>
        <v>68113.719398400019</v>
      </c>
      <c r="P18" s="26">
        <v>20200</v>
      </c>
      <c r="Q18" s="27">
        <f t="shared" si="11"/>
        <v>487442.04963840009</v>
      </c>
      <c r="R18" s="22">
        <f t="shared" si="3"/>
        <v>14135819.439513603</v>
      </c>
      <c r="S18" s="4">
        <f t="shared" si="12"/>
        <v>538064.01317120006</v>
      </c>
      <c r="T18" s="22">
        <f t="shared" si="13"/>
        <v>99794.502920192012</v>
      </c>
      <c r="U18" s="22">
        <v>26533</v>
      </c>
      <c r="V18" s="16">
        <f t="shared" si="14"/>
        <v>664391.51609139203</v>
      </c>
      <c r="W18" s="17">
        <f t="shared" si="4"/>
        <v>674111.61514688004</v>
      </c>
      <c r="X18" s="18">
        <f t="shared" si="15"/>
        <v>145276.6283582208</v>
      </c>
      <c r="Y18" s="19">
        <v>36533</v>
      </c>
      <c r="Z18" s="20">
        <f t="shared" si="0"/>
        <v>855921.24350510084</v>
      </c>
      <c r="AA18" s="20">
        <f t="shared" si="5"/>
        <v>932165.63508506888</v>
      </c>
      <c r="AB18" s="20">
        <f t="shared" si="6"/>
        <v>229080.13173135821</v>
      </c>
      <c r="AC18" s="20">
        <v>49867</v>
      </c>
      <c r="AD18" s="20">
        <f t="shared" si="7"/>
        <v>1211112.766816427</v>
      </c>
      <c r="AE18" s="21">
        <f t="shared" si="8"/>
        <v>36993989.968210861</v>
      </c>
      <c r="AF18" s="22">
        <v>1</v>
      </c>
      <c r="AG18" s="23">
        <f t="shared" si="16"/>
        <v>36993989.968210861</v>
      </c>
      <c r="AH18" s="17">
        <f t="shared" si="17"/>
        <v>45502607.660899356</v>
      </c>
      <c r="AI18" t="s">
        <v>346</v>
      </c>
    </row>
    <row r="19" spans="1:35" ht="34.5" x14ac:dyDescent="0.25">
      <c r="A19" s="15">
        <v>17</v>
      </c>
      <c r="B19" s="15" t="s">
        <v>185</v>
      </c>
      <c r="C19" s="24">
        <v>293938</v>
      </c>
      <c r="D19" s="24"/>
      <c r="E19" s="24">
        <v>0</v>
      </c>
      <c r="F19" s="24">
        <v>13200</v>
      </c>
      <c r="G19" s="24">
        <f t="shared" si="2"/>
        <v>15047.999999999998</v>
      </c>
      <c r="H19" s="24">
        <v>13200</v>
      </c>
      <c r="I19" s="25">
        <f t="shared" si="18"/>
        <v>322186</v>
      </c>
      <c r="J19" s="25">
        <f>F19*112%+H19</f>
        <v>27984</v>
      </c>
      <c r="K19" s="24">
        <v>20200</v>
      </c>
      <c r="L19" s="24">
        <f t="shared" si="20"/>
        <v>335978.56000000006</v>
      </c>
      <c r="M19" s="25">
        <f t="shared" si="21"/>
        <v>384162.56000000006</v>
      </c>
      <c r="N19" s="26">
        <f t="shared" si="9"/>
        <v>399128.3302400001</v>
      </c>
      <c r="O19" s="27">
        <f t="shared" si="10"/>
        <v>53195.136000000006</v>
      </c>
      <c r="P19" s="26">
        <v>20200</v>
      </c>
      <c r="Q19" s="27">
        <f t="shared" si="11"/>
        <v>472523.4662400001</v>
      </c>
      <c r="R19" s="22">
        <f t="shared" si="3"/>
        <v>13703180.520960003</v>
      </c>
      <c r="S19" s="4">
        <f t="shared" si="12"/>
        <v>538064.01317120006</v>
      </c>
      <c r="T19" s="22">
        <f t="shared" si="13"/>
        <v>82936.503679999994</v>
      </c>
      <c r="U19" s="22">
        <v>26533</v>
      </c>
      <c r="V19" s="16">
        <f t="shared" si="14"/>
        <v>647533.51685120002</v>
      </c>
      <c r="W19" s="17">
        <f t="shared" si="4"/>
        <v>674111.61514688004</v>
      </c>
      <c r="X19" s="18">
        <f t="shared" si="15"/>
        <v>125889.92923199998</v>
      </c>
      <c r="Y19" s="19">
        <v>36533</v>
      </c>
      <c r="Z19" s="20">
        <f t="shared" si="0"/>
        <v>836534.54437888006</v>
      </c>
      <c r="AA19" s="20">
        <f t="shared" si="5"/>
        <v>932165.63508506888</v>
      </c>
      <c r="AB19" s="20">
        <f t="shared" si="6"/>
        <v>204652.89083231997</v>
      </c>
      <c r="AC19" s="20">
        <v>49867</v>
      </c>
      <c r="AD19" s="20">
        <f t="shared" si="7"/>
        <v>1186685.525917389</v>
      </c>
      <c r="AE19" s="21">
        <f t="shared" si="8"/>
        <v>36247848.791658431</v>
      </c>
      <c r="AF19" s="22">
        <v>1</v>
      </c>
      <c r="AG19" s="23">
        <f t="shared" si="16"/>
        <v>36247848.791658431</v>
      </c>
      <c r="AH19" s="17">
        <f t="shared" si="17"/>
        <v>44584854.013739869</v>
      </c>
      <c r="AI19" t="s">
        <v>346</v>
      </c>
    </row>
    <row r="20" spans="1:35" ht="17.25" x14ac:dyDescent="0.25">
      <c r="A20" s="15">
        <v>18</v>
      </c>
      <c r="B20" s="15"/>
      <c r="C20" s="24"/>
      <c r="D20" s="24">
        <v>0</v>
      </c>
      <c r="E20" s="24"/>
      <c r="F20" s="24"/>
      <c r="G20" s="24"/>
      <c r="H20" s="24"/>
      <c r="I20" s="24">
        <v>0</v>
      </c>
      <c r="J20" s="24"/>
      <c r="K20" s="24"/>
      <c r="L20" s="24"/>
      <c r="M20" s="24"/>
      <c r="N20" s="26"/>
      <c r="O20" s="26"/>
      <c r="P20" s="26"/>
      <c r="Q20" s="26"/>
      <c r="R20" s="22">
        <v>1100000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9">
        <v>6000000</v>
      </c>
      <c r="AF20" s="22">
        <v>32</v>
      </c>
      <c r="AG20" s="23">
        <f t="shared" si="16"/>
        <v>192000000</v>
      </c>
      <c r="AH20" s="17">
        <f t="shared" si="17"/>
        <v>236160000</v>
      </c>
      <c r="AI20" t="s">
        <v>346</v>
      </c>
    </row>
    <row r="21" spans="1:35" ht="17.25" x14ac:dyDescent="0.25">
      <c r="A21" s="15">
        <v>19</v>
      </c>
      <c r="B21" s="15" t="s">
        <v>186</v>
      </c>
      <c r="C21" s="24"/>
      <c r="D21" s="24">
        <v>0</v>
      </c>
      <c r="E21" s="24"/>
      <c r="F21" s="24"/>
      <c r="G21" s="24"/>
      <c r="H21" s="24"/>
      <c r="I21" s="24">
        <v>0</v>
      </c>
      <c r="J21" s="24"/>
      <c r="K21" s="24"/>
      <c r="L21" s="24"/>
      <c r="M21" s="24"/>
      <c r="N21" s="26"/>
      <c r="O21" s="26"/>
      <c r="P21" s="26"/>
      <c r="Q21" s="26"/>
      <c r="R21" s="22">
        <v>400000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9">
        <v>4500000</v>
      </c>
      <c r="AF21" s="22">
        <v>32</v>
      </c>
      <c r="AG21" s="23">
        <f t="shared" si="16"/>
        <v>144000000</v>
      </c>
      <c r="AH21" s="17">
        <f t="shared" si="17"/>
        <v>177120000</v>
      </c>
      <c r="AI21" t="s">
        <v>346</v>
      </c>
    </row>
    <row r="22" spans="1:35" ht="17.25" x14ac:dyDescent="0.25">
      <c r="A22" s="15">
        <v>20</v>
      </c>
      <c r="B22" s="15" t="s">
        <v>187</v>
      </c>
      <c r="C22" s="24"/>
      <c r="D22" s="24">
        <v>0</v>
      </c>
      <c r="E22" s="24"/>
      <c r="F22" s="24"/>
      <c r="G22" s="24"/>
      <c r="H22" s="24"/>
      <c r="I22" s="24">
        <v>0</v>
      </c>
      <c r="J22" s="24"/>
      <c r="K22" s="24"/>
      <c r="L22" s="24"/>
      <c r="M22" s="24"/>
      <c r="N22" s="26"/>
      <c r="O22" s="26"/>
      <c r="P22" s="26"/>
      <c r="Q22" s="26"/>
      <c r="R22" s="22">
        <f>370423*3</f>
        <v>1111269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9">
        <f>885165*3</f>
        <v>2655495</v>
      </c>
      <c r="AF22" s="22">
        <v>42</v>
      </c>
      <c r="AG22" s="23">
        <f>AE22*AF22</f>
        <v>111530790</v>
      </c>
      <c r="AH22" s="17">
        <f>AG22</f>
        <v>111530790</v>
      </c>
      <c r="AI22" t="s">
        <v>346</v>
      </c>
    </row>
    <row r="23" spans="1:35" ht="17.25" x14ac:dyDescent="0.25">
      <c r="A23" s="15">
        <v>21</v>
      </c>
      <c r="B23" s="15" t="s">
        <v>188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26"/>
      <c r="P23" s="26"/>
      <c r="Q23" s="26"/>
      <c r="R23" s="22">
        <f>R6*35%</f>
        <v>4671878.7616435206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9">
        <f>AE6*35%</f>
        <v>12401114.273991082</v>
      </c>
      <c r="AF23" s="22">
        <v>2</v>
      </c>
      <c r="AG23" s="23">
        <f t="shared" si="16"/>
        <v>24802228.547982164</v>
      </c>
      <c r="AH23" s="17">
        <f>AG23*123%</f>
        <v>30506741.11401806</v>
      </c>
      <c r="AI23" t="s">
        <v>346</v>
      </c>
    </row>
    <row r="24" spans="1:35" ht="17.25" x14ac:dyDescent="0.25">
      <c r="A24" s="15">
        <v>22</v>
      </c>
      <c r="B24" s="30" t="s">
        <v>189</v>
      </c>
      <c r="C24" s="24"/>
      <c r="D24" s="24">
        <v>0</v>
      </c>
      <c r="E24" s="24"/>
      <c r="F24" s="24"/>
      <c r="G24" s="24"/>
      <c r="H24" s="24"/>
      <c r="I24" s="24">
        <v>0</v>
      </c>
      <c r="J24" s="24"/>
      <c r="K24" s="24"/>
      <c r="L24" s="24"/>
      <c r="M24" s="24"/>
      <c r="N24" s="26"/>
      <c r="O24" s="26"/>
      <c r="P24" s="26"/>
      <c r="Q24" s="26"/>
      <c r="R24" s="22">
        <f>Q6*6/44*1.4*42</f>
        <v>3690637.7678187061</v>
      </c>
      <c r="S24" s="22"/>
      <c r="T24" s="22"/>
      <c r="U24" s="22"/>
      <c r="V24" s="22"/>
      <c r="W24" s="31"/>
      <c r="X24" s="22"/>
      <c r="Y24" s="22"/>
      <c r="Z24" s="22"/>
      <c r="AA24" s="22"/>
      <c r="AB24" s="22"/>
      <c r="AC24" s="22"/>
      <c r="AD24" s="22"/>
      <c r="AE24" s="29">
        <f>AD6*6/44*1.4*32</f>
        <v>7086351.0137091922</v>
      </c>
      <c r="AF24" s="22">
        <v>32</v>
      </c>
      <c r="AG24" s="23">
        <f t="shared" si="16"/>
        <v>226763232.43869415</v>
      </c>
      <c r="AH24" s="17">
        <f t="shared" ref="AH24:AH43" si="22">AG24</f>
        <v>226763232.43869415</v>
      </c>
      <c r="AI24" t="s">
        <v>346</v>
      </c>
    </row>
    <row r="25" spans="1:35" ht="17.25" x14ac:dyDescent="0.25">
      <c r="A25" s="15">
        <v>23</v>
      </c>
      <c r="B25" s="15" t="s">
        <v>190</v>
      </c>
      <c r="C25" s="24"/>
      <c r="D25" s="24">
        <v>0</v>
      </c>
      <c r="E25" s="24"/>
      <c r="F25" s="24"/>
      <c r="G25" s="24"/>
      <c r="H25" s="24"/>
      <c r="I25" s="24">
        <v>0</v>
      </c>
      <c r="J25" s="24"/>
      <c r="K25" s="24"/>
      <c r="L25" s="24"/>
      <c r="M25" s="24"/>
      <c r="N25" s="26"/>
      <c r="O25" s="26"/>
      <c r="P25" s="26"/>
      <c r="Q25" s="26"/>
      <c r="R25" s="22">
        <f>Q6*4/12</f>
        <v>153427.87394560003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9">
        <f>AD6*4/12</f>
        <v>386656.05729564041</v>
      </c>
      <c r="AF25" s="22">
        <v>32</v>
      </c>
      <c r="AG25" s="23">
        <f>AE25*AF25</f>
        <v>12372993.833460493</v>
      </c>
      <c r="AH25" s="17">
        <f t="shared" si="22"/>
        <v>12372993.833460493</v>
      </c>
      <c r="AI25" t="s">
        <v>346</v>
      </c>
    </row>
    <row r="26" spans="1:35" ht="17.25" x14ac:dyDescent="0.25">
      <c r="A26" s="15">
        <v>24</v>
      </c>
      <c r="B26" s="15" t="s">
        <v>191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6"/>
      <c r="O26" s="26"/>
      <c r="P26" s="26"/>
      <c r="Q26" s="26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9">
        <f>AD3*90/12</f>
        <v>7046095.0424999995</v>
      </c>
      <c r="AF26" s="22">
        <v>1</v>
      </c>
      <c r="AG26" s="23">
        <f t="shared" si="16"/>
        <v>7046095.0424999995</v>
      </c>
      <c r="AH26" s="17">
        <f t="shared" si="22"/>
        <v>7046095.0424999995</v>
      </c>
      <c r="AI26" t="s">
        <v>346</v>
      </c>
    </row>
    <row r="27" spans="1:35" ht="17.25" x14ac:dyDescent="0.25">
      <c r="A27" s="15">
        <v>25</v>
      </c>
      <c r="B27" s="15" t="s">
        <v>192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/>
      <c r="O27" s="26"/>
      <c r="P27" s="26"/>
      <c r="Q27" s="26"/>
      <c r="R27" s="22">
        <f t="shared" ref="R27:R36" si="23">Q4*90/12</f>
        <v>3405940.9094400001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9">
        <f t="shared" ref="AE27:AE42" si="24">AD4*90/12</f>
        <v>8613010.3018897716</v>
      </c>
      <c r="AF27" s="22">
        <v>1</v>
      </c>
      <c r="AG27" s="23">
        <f t="shared" si="16"/>
        <v>8613010.3018897716</v>
      </c>
      <c r="AH27" s="17">
        <f t="shared" si="22"/>
        <v>8613010.3018897716</v>
      </c>
      <c r="AI27" t="s">
        <v>346</v>
      </c>
    </row>
    <row r="28" spans="1:35" ht="17.25" x14ac:dyDescent="0.25">
      <c r="A28" s="15">
        <v>26</v>
      </c>
      <c r="B28" s="15" t="s">
        <v>193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6"/>
      <c r="O28" s="26"/>
      <c r="P28" s="26"/>
      <c r="Q28" s="26"/>
      <c r="R28" s="22">
        <f t="shared" si="23"/>
        <v>3428658.4558080002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9">
        <f t="shared" si="24"/>
        <v>8655770.8307863455</v>
      </c>
      <c r="AF28" s="22">
        <v>3</v>
      </c>
      <c r="AG28" s="23">
        <f t="shared" si="16"/>
        <v>25967312.492359035</v>
      </c>
      <c r="AH28" s="17">
        <f t="shared" si="22"/>
        <v>25967312.492359035</v>
      </c>
      <c r="AI28" t="s">
        <v>346</v>
      </c>
    </row>
    <row r="29" spans="1:35" ht="17.25" x14ac:dyDescent="0.25">
      <c r="A29" s="15">
        <v>27</v>
      </c>
      <c r="B29" s="15" t="s">
        <v>194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"/>
      <c r="O29" s="26"/>
      <c r="P29" s="26"/>
      <c r="Q29" s="26"/>
      <c r="R29" s="22">
        <f t="shared" si="23"/>
        <v>3452127.163776001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9">
        <f t="shared" si="24"/>
        <v>8699761.2891519088</v>
      </c>
      <c r="AF29" s="22">
        <v>11</v>
      </c>
      <c r="AG29" s="23">
        <f t="shared" si="16"/>
        <v>95697374.180670992</v>
      </c>
      <c r="AH29" s="17">
        <f>AG29</f>
        <v>95697374.180670992</v>
      </c>
      <c r="AI29" t="s">
        <v>346</v>
      </c>
    </row>
    <row r="30" spans="1:35" ht="31.5" x14ac:dyDescent="0.25">
      <c r="A30" s="15">
        <v>28</v>
      </c>
      <c r="B30" s="15" t="s">
        <v>195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/>
      <c r="O30" s="26"/>
      <c r="P30" s="26"/>
      <c r="Q30" s="26"/>
      <c r="R30" s="22">
        <f t="shared" si="23"/>
        <v>3355495.4304000009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9">
        <f t="shared" si="24"/>
        <v>8541539.3878740482</v>
      </c>
      <c r="AF30" s="22">
        <v>1</v>
      </c>
      <c r="AG30" s="23">
        <f t="shared" si="16"/>
        <v>8541539.3878740482</v>
      </c>
      <c r="AH30" s="17">
        <f>AG30</f>
        <v>8541539.3878740482</v>
      </c>
      <c r="AI30" t="s">
        <v>346</v>
      </c>
    </row>
    <row r="31" spans="1:35" ht="31.5" x14ac:dyDescent="0.25">
      <c r="A31" s="15">
        <v>29</v>
      </c>
      <c r="B31" s="15" t="s">
        <v>196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/>
      <c r="O31" s="26"/>
      <c r="P31" s="26"/>
      <c r="Q31" s="26"/>
      <c r="R31" s="22">
        <f t="shared" si="23"/>
        <v>3246464.3904000004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9">
        <f t="shared" si="24"/>
        <v>8363015.2339092484</v>
      </c>
      <c r="AF31" s="22">
        <v>1</v>
      </c>
      <c r="AG31" s="23">
        <f t="shared" si="16"/>
        <v>8363015.2339092484</v>
      </c>
      <c r="AH31" s="17">
        <f>AG31</f>
        <v>8363015.2339092484</v>
      </c>
      <c r="AI31" t="s">
        <v>346</v>
      </c>
    </row>
    <row r="32" spans="1:35" ht="31.5" x14ac:dyDescent="0.25">
      <c r="A32" s="15">
        <v>30</v>
      </c>
      <c r="B32" s="15" t="s">
        <v>175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/>
      <c r="O32" s="26"/>
      <c r="P32" s="26"/>
      <c r="Q32" s="26"/>
      <c r="R32" s="22">
        <f t="shared" si="23"/>
        <v>3153728.3904000004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9">
        <f t="shared" si="24"/>
        <v>8211172.0895892484</v>
      </c>
      <c r="AF32" s="22">
        <v>1</v>
      </c>
      <c r="AG32" s="23">
        <f t="shared" si="16"/>
        <v>8211172.0895892484</v>
      </c>
      <c r="AH32" s="17">
        <f>AG32</f>
        <v>8211172.0895892484</v>
      </c>
      <c r="AI32" t="s">
        <v>346</v>
      </c>
    </row>
    <row r="33" spans="1:37" ht="17.25" x14ac:dyDescent="0.25">
      <c r="A33" s="15">
        <v>31</v>
      </c>
      <c r="B33" s="15" t="s">
        <v>197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6"/>
      <c r="O33" s="26"/>
      <c r="P33" s="26"/>
      <c r="Q33" s="26"/>
      <c r="R33" s="22">
        <f t="shared" si="23"/>
        <v>3477682.4317440004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9">
        <f t="shared" si="24"/>
        <v>8747168.2182646729</v>
      </c>
      <c r="AF33" s="22">
        <v>2</v>
      </c>
      <c r="AG33" s="23">
        <f t="shared" si="16"/>
        <v>17494336.436529346</v>
      </c>
      <c r="AH33" s="17">
        <f t="shared" si="22"/>
        <v>17494336.436529346</v>
      </c>
      <c r="AI33" t="s">
        <v>346</v>
      </c>
    </row>
    <row r="34" spans="1:37" ht="17.25" x14ac:dyDescent="0.25">
      <c r="A34" s="15">
        <v>32</v>
      </c>
      <c r="B34" s="15" t="s">
        <v>198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26"/>
      <c r="P34" s="26"/>
      <c r="Q34" s="26"/>
      <c r="R34" s="22">
        <f t="shared" si="23"/>
        <v>3533874.9004800003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9">
        <f t="shared" si="24"/>
        <v>8850303.0807989351</v>
      </c>
      <c r="AF34" s="22">
        <v>1</v>
      </c>
      <c r="AG34" s="23">
        <f t="shared" si="16"/>
        <v>8850303.0807989351</v>
      </c>
      <c r="AH34" s="17">
        <f t="shared" si="22"/>
        <v>8850303.0807989351</v>
      </c>
      <c r="AI34" t="s">
        <v>346</v>
      </c>
    </row>
    <row r="35" spans="1:37" ht="31.5" x14ac:dyDescent="0.25">
      <c r="A35" s="15">
        <v>33</v>
      </c>
      <c r="B35" s="15" t="s">
        <v>199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/>
      <c r="O35" s="26"/>
      <c r="P35" s="26"/>
      <c r="Q35" s="26"/>
      <c r="R35" s="22">
        <f t="shared" si="23"/>
        <v>3459660.1344000003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9">
        <f t="shared" si="24"/>
        <v>8728786.0492625255</v>
      </c>
      <c r="AF35" s="22">
        <v>2</v>
      </c>
      <c r="AG35" s="23">
        <f t="shared" si="16"/>
        <v>17457572.098525051</v>
      </c>
      <c r="AH35" s="17">
        <f t="shared" si="22"/>
        <v>17457572.098525051</v>
      </c>
      <c r="AI35" t="s">
        <v>346</v>
      </c>
    </row>
    <row r="36" spans="1:37" ht="31.5" x14ac:dyDescent="0.25">
      <c r="A36" s="15">
        <v>34</v>
      </c>
      <c r="B36" s="15" t="s">
        <v>200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/>
      <c r="O36" s="26"/>
      <c r="P36" s="26"/>
      <c r="Q36" s="26"/>
      <c r="R36" s="22">
        <f t="shared" si="23"/>
        <v>3221514.0864000004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9">
        <f t="shared" si="24"/>
        <v>8338852.8546487652</v>
      </c>
      <c r="AF36" s="22">
        <v>1</v>
      </c>
      <c r="AG36" s="23">
        <f t="shared" si="16"/>
        <v>8338852.8546487652</v>
      </c>
      <c r="AH36" s="17">
        <f t="shared" si="22"/>
        <v>8338852.8546487652</v>
      </c>
      <c r="AI36" t="s">
        <v>346</v>
      </c>
    </row>
    <row r="37" spans="1:37" ht="31.5" x14ac:dyDescent="0.25">
      <c r="A37" s="15">
        <v>35</v>
      </c>
      <c r="B37" s="15" t="s">
        <v>201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6"/>
      <c r="O37" s="26"/>
      <c r="P37" s="26"/>
      <c r="Q37" s="26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9">
        <f t="shared" si="24"/>
        <v>7238737.6499999994</v>
      </c>
      <c r="AF37" s="22">
        <v>1</v>
      </c>
      <c r="AG37" s="23">
        <f t="shared" si="16"/>
        <v>7238737.6499999994</v>
      </c>
      <c r="AH37" s="17">
        <f t="shared" si="22"/>
        <v>7238737.6499999994</v>
      </c>
      <c r="AI37" t="s">
        <v>346</v>
      </c>
    </row>
    <row r="38" spans="1:37" ht="31.5" x14ac:dyDescent="0.25">
      <c r="A38" s="15">
        <v>36</v>
      </c>
      <c r="B38" s="15" t="s">
        <v>202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6"/>
      <c r="O38" s="26"/>
      <c r="P38" s="26"/>
      <c r="Q38" s="26"/>
      <c r="R38" s="22">
        <f>Q15*90/12</f>
        <v>3495462.1824000007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9">
        <f t="shared" si="24"/>
        <v>8467784.2485962901</v>
      </c>
      <c r="AF38" s="22">
        <v>1</v>
      </c>
      <c r="AG38" s="23">
        <f t="shared" si="16"/>
        <v>8467784.2485962901</v>
      </c>
      <c r="AH38" s="17">
        <f t="shared" si="22"/>
        <v>8467784.2485962901</v>
      </c>
      <c r="AI38" t="s">
        <v>346</v>
      </c>
    </row>
    <row r="39" spans="1:37" ht="31.5" x14ac:dyDescent="0.25">
      <c r="A39" s="15">
        <v>37</v>
      </c>
      <c r="B39" s="15" t="s">
        <v>203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6"/>
      <c r="O39" s="26"/>
      <c r="P39" s="26"/>
      <c r="Q39" s="26"/>
      <c r="R39" s="22">
        <f>Q16*90/12</f>
        <v>3364370.5728000007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9">
        <f t="shared" si="24"/>
        <v>8253138.7797855362</v>
      </c>
      <c r="AF39" s="22">
        <v>1</v>
      </c>
      <c r="AG39" s="23">
        <f t="shared" si="16"/>
        <v>8253138.7797855362</v>
      </c>
      <c r="AH39" s="17">
        <f t="shared" si="22"/>
        <v>8253138.7797855362</v>
      </c>
      <c r="AI39" t="s">
        <v>346</v>
      </c>
    </row>
    <row r="40" spans="1:37" ht="17.25" x14ac:dyDescent="0.25">
      <c r="A40" s="15">
        <v>38</v>
      </c>
      <c r="B40" s="15" t="s">
        <v>204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6"/>
      <c r="O40" s="26"/>
      <c r="P40" s="26"/>
      <c r="Q40" s="26"/>
      <c r="R40" s="22">
        <f>Q17*90/12</f>
        <v>3610417.3739520009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9">
        <f t="shared" si="24"/>
        <v>8997885.4305877853</v>
      </c>
      <c r="AF40" s="22">
        <v>2</v>
      </c>
      <c r="AG40" s="23">
        <f t="shared" si="16"/>
        <v>17995770.861175571</v>
      </c>
      <c r="AH40" s="17">
        <f t="shared" si="22"/>
        <v>17995770.861175571</v>
      </c>
      <c r="AI40" t="s">
        <v>346</v>
      </c>
    </row>
    <row r="41" spans="1:37" ht="17.25" x14ac:dyDescent="0.25">
      <c r="A41" s="15">
        <v>39</v>
      </c>
      <c r="B41" s="15" t="s">
        <v>205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6"/>
      <c r="O41" s="26"/>
      <c r="P41" s="26"/>
      <c r="Q41" s="26"/>
      <c r="R41" s="22">
        <f>Q18*90/12</f>
        <v>3655815.3722880003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9">
        <f t="shared" si="24"/>
        <v>9083345.751123203</v>
      </c>
      <c r="AF41" s="22">
        <v>1</v>
      </c>
      <c r="AG41" s="23">
        <f t="shared" si="16"/>
        <v>9083345.751123203</v>
      </c>
      <c r="AH41" s="17">
        <f t="shared" si="22"/>
        <v>9083345.751123203</v>
      </c>
      <c r="AI41" t="s">
        <v>346</v>
      </c>
    </row>
    <row r="42" spans="1:37" ht="31.5" x14ac:dyDescent="0.25">
      <c r="A42" s="15">
        <v>40</v>
      </c>
      <c r="B42" s="15" t="s">
        <v>206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/>
      <c r="O42" s="26"/>
      <c r="P42" s="26"/>
      <c r="Q42" s="26"/>
      <c r="R42" s="22">
        <f>Q19*90/12</f>
        <v>3543925.9968000003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9">
        <f t="shared" si="24"/>
        <v>8900141.4443804175</v>
      </c>
      <c r="AF42" s="22">
        <v>1</v>
      </c>
      <c r="AG42" s="23">
        <f t="shared" si="16"/>
        <v>8900141.4443804175</v>
      </c>
      <c r="AH42" s="17">
        <f t="shared" si="22"/>
        <v>8900141.4443804175</v>
      </c>
      <c r="AI42" t="s">
        <v>346</v>
      </c>
    </row>
    <row r="43" spans="1:37" ht="31.5" x14ac:dyDescent="0.25">
      <c r="A43" s="15">
        <v>41</v>
      </c>
      <c r="B43" s="15" t="s">
        <v>207</v>
      </c>
      <c r="C43" s="24"/>
      <c r="D43" s="24">
        <v>0</v>
      </c>
      <c r="E43" s="24"/>
      <c r="F43" s="24"/>
      <c r="G43" s="24"/>
      <c r="H43" s="24"/>
      <c r="I43" s="24">
        <v>37500</v>
      </c>
      <c r="J43" s="24"/>
      <c r="K43" s="24"/>
      <c r="L43" s="24"/>
      <c r="M43" s="24"/>
      <c r="N43" s="26"/>
      <c r="O43" s="26"/>
      <c r="P43" s="26"/>
      <c r="Q43" s="26"/>
      <c r="R43" s="22">
        <f>55000*180/12</f>
        <v>825000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9">
        <v>0</v>
      </c>
      <c r="AF43" s="22">
        <v>0</v>
      </c>
      <c r="AG43" s="23">
        <f t="shared" si="16"/>
        <v>0</v>
      </c>
      <c r="AH43" s="17">
        <f t="shared" si="22"/>
        <v>0</v>
      </c>
      <c r="AI43" t="s">
        <v>346</v>
      </c>
    </row>
    <row r="44" spans="1:37" ht="17.25" x14ac:dyDescent="0.25">
      <c r="A44" s="15">
        <v>42</v>
      </c>
      <c r="B44" s="12" t="s">
        <v>208</v>
      </c>
      <c r="C44" s="32"/>
      <c r="D44" s="32">
        <v>0</v>
      </c>
      <c r="E44" s="32"/>
      <c r="F44" s="32"/>
      <c r="G44" s="32"/>
      <c r="H44" s="32"/>
      <c r="I44" s="32">
        <v>0</v>
      </c>
      <c r="J44" s="32"/>
      <c r="K44" s="32"/>
      <c r="L44" s="32"/>
      <c r="M44" s="32"/>
      <c r="N44" s="32"/>
      <c r="O44" s="32"/>
      <c r="P44" s="32"/>
      <c r="Q44" s="32"/>
      <c r="R44" s="32">
        <v>0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32">
        <v>0</v>
      </c>
      <c r="AG44" s="32">
        <v>0</v>
      </c>
      <c r="AH44" s="34">
        <f>SUM(AH3:AH43)</f>
        <v>2444166226.1015029</v>
      </c>
    </row>
    <row r="45" spans="1:37" ht="17.25" x14ac:dyDescent="0.25">
      <c r="A45" s="15">
        <v>1</v>
      </c>
      <c r="B45" s="35" t="s">
        <v>209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2"/>
      <c r="O45" s="32"/>
      <c r="P45" s="32"/>
      <c r="Q45" s="32"/>
      <c r="R45" s="22">
        <v>1000000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36"/>
      <c r="AF45" s="22">
        <v>32</v>
      </c>
      <c r="AG45" s="22">
        <v>1300000</v>
      </c>
      <c r="AH45" s="37">
        <f>AG45*AF45</f>
        <v>41600000</v>
      </c>
      <c r="AI45" s="38" t="s">
        <v>345</v>
      </c>
      <c r="AJ45" s="38"/>
      <c r="AK45" s="38"/>
    </row>
    <row r="46" spans="1:37" ht="17.25" x14ac:dyDescent="0.25">
      <c r="A46" s="15">
        <v>2</v>
      </c>
      <c r="B46" s="15" t="s">
        <v>210</v>
      </c>
      <c r="C46" s="24"/>
      <c r="D46" s="24">
        <v>0</v>
      </c>
      <c r="E46" s="24"/>
      <c r="F46" s="24"/>
      <c r="G46" s="24"/>
      <c r="H46" s="24"/>
      <c r="I46" s="24">
        <v>0</v>
      </c>
      <c r="J46" s="24"/>
      <c r="K46" s="24"/>
      <c r="L46" s="24"/>
      <c r="M46" s="24"/>
      <c r="N46" s="26"/>
      <c r="O46" s="26"/>
      <c r="P46" s="26"/>
      <c r="Q46" s="26"/>
      <c r="R46" s="22">
        <v>0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36"/>
      <c r="AF46" s="22">
        <v>0</v>
      </c>
      <c r="AG46" s="22"/>
      <c r="AH46" s="39">
        <v>10000000</v>
      </c>
      <c r="AI46" s="38" t="s">
        <v>345</v>
      </c>
    </row>
    <row r="47" spans="1:37" ht="17.25" x14ac:dyDescent="0.25">
      <c r="A47" s="15">
        <v>3</v>
      </c>
      <c r="B47" s="15" t="s">
        <v>211</v>
      </c>
      <c r="C47" s="24"/>
      <c r="D47" s="24">
        <v>0</v>
      </c>
      <c r="E47" s="24"/>
      <c r="F47" s="24"/>
      <c r="G47" s="24"/>
      <c r="H47" s="24"/>
      <c r="I47" s="24">
        <v>800000</v>
      </c>
      <c r="J47" s="24"/>
      <c r="K47" s="24"/>
      <c r="L47" s="24"/>
      <c r="M47" s="24"/>
      <c r="N47" s="26"/>
      <c r="O47" s="26"/>
      <c r="P47" s="26"/>
      <c r="Q47" s="26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36"/>
      <c r="AF47" s="22">
        <v>32</v>
      </c>
      <c r="AG47" s="22">
        <f>800000/12</f>
        <v>66666.666666666672</v>
      </c>
      <c r="AH47" s="39">
        <f>AG47*AF47</f>
        <v>2133333.3333333335</v>
      </c>
      <c r="AI47" s="38" t="s">
        <v>345</v>
      </c>
    </row>
    <row r="48" spans="1:37" ht="17.25" x14ac:dyDescent="0.25">
      <c r="A48" s="15">
        <v>4</v>
      </c>
      <c r="B48" s="15" t="s">
        <v>212</v>
      </c>
      <c r="C48" s="24"/>
      <c r="D48" s="24">
        <v>0</v>
      </c>
      <c r="E48" s="24"/>
      <c r="F48" s="24"/>
      <c r="G48" s="24"/>
      <c r="H48" s="24"/>
      <c r="I48" s="24">
        <v>0</v>
      </c>
      <c r="J48" s="24"/>
      <c r="K48" s="24"/>
      <c r="L48" s="24"/>
      <c r="M48" s="24"/>
      <c r="N48" s="26"/>
      <c r="O48" s="26"/>
      <c r="P48" s="26"/>
      <c r="Q48" s="26"/>
      <c r="R48" s="22">
        <v>0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36"/>
      <c r="AF48" s="22">
        <v>32</v>
      </c>
      <c r="AG48" s="22">
        <f>5000000/12</f>
        <v>416666.66666666669</v>
      </c>
      <c r="AH48" s="40">
        <f>AG48*AF48</f>
        <v>13333333.333333334</v>
      </c>
      <c r="AI48" s="38" t="s">
        <v>345</v>
      </c>
    </row>
    <row r="49" spans="1:35" ht="17.25" x14ac:dyDescent="0.25">
      <c r="A49" s="15">
        <v>5</v>
      </c>
      <c r="B49" s="15" t="s">
        <v>213</v>
      </c>
      <c r="C49" s="24"/>
      <c r="D49" s="24">
        <v>0</v>
      </c>
      <c r="E49" s="24"/>
      <c r="F49" s="24"/>
      <c r="G49" s="24"/>
      <c r="H49" s="24"/>
      <c r="I49" s="24">
        <v>0</v>
      </c>
      <c r="J49" s="24"/>
      <c r="K49" s="24"/>
      <c r="L49" s="24"/>
      <c r="M49" s="24"/>
      <c r="N49" s="26"/>
      <c r="O49" s="26"/>
      <c r="P49" s="26"/>
      <c r="Q49" s="26"/>
      <c r="R49" s="22">
        <v>0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36"/>
      <c r="AF49" s="22">
        <v>1</v>
      </c>
      <c r="AG49" s="22"/>
      <c r="AH49" s="39">
        <v>60000000</v>
      </c>
      <c r="AI49" s="38" t="s">
        <v>346</v>
      </c>
    </row>
    <row r="50" spans="1:35" ht="31.5" x14ac:dyDescent="0.25">
      <c r="A50" s="15">
        <v>6</v>
      </c>
      <c r="B50" s="15" t="s">
        <v>214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6"/>
      <c r="O50" s="26"/>
      <c r="P50" s="26"/>
      <c r="Q50" s="26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36"/>
      <c r="AF50" s="22"/>
      <c r="AG50" s="22"/>
      <c r="AH50" s="39">
        <v>6000000</v>
      </c>
      <c r="AI50" s="38" t="s">
        <v>345</v>
      </c>
    </row>
    <row r="51" spans="1:35" ht="17.25" x14ac:dyDescent="0.25">
      <c r="A51" s="15">
        <v>7</v>
      </c>
      <c r="B51" s="15" t="s">
        <v>215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6"/>
      <c r="O51" s="26"/>
      <c r="P51" s="26"/>
      <c r="Q51" s="26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36"/>
      <c r="AF51" s="22"/>
      <c r="AG51" s="22"/>
      <c r="AH51" s="39">
        <v>11000000</v>
      </c>
      <c r="AI51" s="38" t="s">
        <v>345</v>
      </c>
    </row>
    <row r="52" spans="1:35" ht="31.5" x14ac:dyDescent="0.25">
      <c r="A52" s="15">
        <v>8</v>
      </c>
      <c r="B52" s="15" t="s">
        <v>216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6"/>
      <c r="O52" s="26"/>
      <c r="P52" s="26"/>
      <c r="Q52" s="26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36"/>
      <c r="AF52" s="22"/>
      <c r="AG52" s="22"/>
      <c r="AH52" s="39">
        <v>8000000</v>
      </c>
      <c r="AI52" s="38" t="s">
        <v>345</v>
      </c>
    </row>
    <row r="53" spans="1:35" ht="17.25" x14ac:dyDescent="0.25">
      <c r="A53" s="15">
        <v>9</v>
      </c>
      <c r="B53" s="15" t="s">
        <v>217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6"/>
      <c r="O53" s="26"/>
      <c r="P53" s="26"/>
      <c r="Q53" s="26"/>
      <c r="R53" s="22">
        <v>0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36"/>
      <c r="AF53" s="22">
        <v>0</v>
      </c>
      <c r="AG53" s="22">
        <v>0</v>
      </c>
      <c r="AH53" s="40">
        <v>12000000</v>
      </c>
      <c r="AI53" s="38" t="s">
        <v>345</v>
      </c>
    </row>
    <row r="54" spans="1:35" ht="17.25" x14ac:dyDescent="0.25">
      <c r="A54" s="15">
        <v>10</v>
      </c>
      <c r="B54" s="15" t="s">
        <v>218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6"/>
      <c r="O54" s="26"/>
      <c r="P54" s="26"/>
      <c r="Q54" s="26"/>
      <c r="R54" s="22">
        <v>0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36"/>
      <c r="AF54" s="22">
        <v>0</v>
      </c>
      <c r="AG54" s="22">
        <v>0</v>
      </c>
      <c r="AH54" s="40">
        <v>15000000</v>
      </c>
      <c r="AI54" s="38" t="s">
        <v>345</v>
      </c>
    </row>
    <row r="55" spans="1:35" ht="17.25" x14ac:dyDescent="0.25">
      <c r="A55" s="15">
        <v>11</v>
      </c>
      <c r="B55" s="15" t="s">
        <v>219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6"/>
      <c r="O55" s="26"/>
      <c r="P55" s="26"/>
      <c r="Q55" s="26"/>
      <c r="R55" s="22">
        <v>0</v>
      </c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36"/>
      <c r="AF55" s="22">
        <v>0</v>
      </c>
      <c r="AG55" s="22">
        <v>0</v>
      </c>
      <c r="AH55" s="39">
        <v>4000000</v>
      </c>
      <c r="AI55" s="38" t="s">
        <v>345</v>
      </c>
    </row>
    <row r="56" spans="1:35" ht="17.25" x14ac:dyDescent="0.25">
      <c r="A56" s="15">
        <v>12</v>
      </c>
      <c r="B56" s="15" t="s">
        <v>220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6"/>
      <c r="O56" s="26"/>
      <c r="P56" s="26"/>
      <c r="Q56" s="26"/>
      <c r="R56" s="22">
        <v>0</v>
      </c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36"/>
      <c r="AF56" s="22">
        <v>0</v>
      </c>
      <c r="AG56" s="22">
        <v>0</v>
      </c>
      <c r="AH56" s="40">
        <v>16000000</v>
      </c>
      <c r="AI56" s="38" t="s">
        <v>345</v>
      </c>
    </row>
    <row r="57" spans="1:35" ht="17.25" x14ac:dyDescent="0.25">
      <c r="A57" s="15">
        <v>13</v>
      </c>
      <c r="B57" s="15" t="s">
        <v>221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6"/>
      <c r="O57" s="26"/>
      <c r="P57" s="26"/>
      <c r="Q57" s="26"/>
      <c r="R57" s="22">
        <v>0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36"/>
      <c r="AF57" s="22">
        <v>0</v>
      </c>
      <c r="AG57" s="22">
        <v>0</v>
      </c>
      <c r="AH57" s="40">
        <v>8000000</v>
      </c>
      <c r="AI57" s="38" t="s">
        <v>345</v>
      </c>
    </row>
    <row r="58" spans="1:35" ht="31.5" x14ac:dyDescent="0.25">
      <c r="A58" s="15">
        <v>14</v>
      </c>
      <c r="B58" s="15" t="s">
        <v>222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6"/>
      <c r="O58" s="26"/>
      <c r="P58" s="26"/>
      <c r="Q58" s="26"/>
      <c r="R58" s="22">
        <v>0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36"/>
      <c r="AF58" s="22">
        <v>0</v>
      </c>
      <c r="AG58" s="22">
        <v>0</v>
      </c>
      <c r="AH58" s="40">
        <v>20000000</v>
      </c>
      <c r="AI58" s="38" t="s">
        <v>345</v>
      </c>
    </row>
    <row r="59" spans="1:35" ht="17.25" x14ac:dyDescent="0.25">
      <c r="A59" s="15">
        <v>15</v>
      </c>
      <c r="B59" s="15" t="s">
        <v>223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6"/>
      <c r="O59" s="26"/>
      <c r="P59" s="26"/>
      <c r="Q59" s="2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36"/>
      <c r="AF59" s="22"/>
      <c r="AG59" s="22"/>
      <c r="AH59" s="40">
        <v>4000000</v>
      </c>
      <c r="AI59" s="38" t="s">
        <v>345</v>
      </c>
    </row>
    <row r="60" spans="1:35" ht="47.25" x14ac:dyDescent="0.25">
      <c r="A60" s="15">
        <v>16</v>
      </c>
      <c r="B60" s="15" t="s">
        <v>224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6"/>
      <c r="O60" s="26"/>
      <c r="P60" s="26"/>
      <c r="Q60" s="26"/>
      <c r="R60" s="22"/>
      <c r="S60" s="22"/>
      <c r="T60" s="22"/>
      <c r="U60" s="22"/>
      <c r="V60" s="22"/>
      <c r="W60" s="41" t="s">
        <v>225</v>
      </c>
      <c r="X60" s="22"/>
      <c r="Y60" s="22"/>
      <c r="Z60" s="31" t="s">
        <v>226</v>
      </c>
      <c r="AA60" s="31"/>
      <c r="AB60" s="31"/>
      <c r="AC60" s="31"/>
      <c r="AD60" s="31"/>
      <c r="AE60" s="36">
        <f>636809*6/44*1.4*50*30%</f>
        <v>1823589.4090909089</v>
      </c>
      <c r="AF60" s="22">
        <v>0</v>
      </c>
      <c r="AG60" s="22">
        <f>AE60*AF60</f>
        <v>0</v>
      </c>
      <c r="AH60" s="39">
        <f>AG60</f>
        <v>0</v>
      </c>
      <c r="AI60" s="38" t="s">
        <v>346</v>
      </c>
    </row>
    <row r="61" spans="1:35" ht="47.25" x14ac:dyDescent="0.25">
      <c r="A61" s="15">
        <v>17</v>
      </c>
      <c r="B61" s="42" t="s">
        <v>227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6"/>
      <c r="O61" s="26"/>
      <c r="P61" s="26"/>
      <c r="Q61" s="26"/>
      <c r="R61" s="22">
        <v>0</v>
      </c>
      <c r="S61" s="22"/>
      <c r="T61" s="22"/>
      <c r="U61" s="22"/>
      <c r="V61" s="22"/>
      <c r="W61" s="22"/>
      <c r="X61" s="22"/>
      <c r="Y61" s="22"/>
      <c r="Z61" s="22"/>
      <c r="AA61" s="22" t="s">
        <v>228</v>
      </c>
      <c r="AB61" s="22"/>
      <c r="AC61" s="22"/>
      <c r="AD61" s="22"/>
      <c r="AE61" s="36"/>
      <c r="AF61" s="22">
        <v>0</v>
      </c>
      <c r="AG61" s="22">
        <v>0</v>
      </c>
      <c r="AH61" s="43">
        <v>62800000</v>
      </c>
      <c r="AI61" s="38" t="s">
        <v>346</v>
      </c>
    </row>
    <row r="62" spans="1:35" ht="17.25" x14ac:dyDescent="0.25">
      <c r="A62" s="15">
        <v>18</v>
      </c>
      <c r="B62" s="42" t="s">
        <v>229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6"/>
      <c r="O62" s="26"/>
      <c r="P62" s="26"/>
      <c r="Q62" s="26"/>
      <c r="R62" s="22">
        <v>0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36"/>
      <c r="AF62" s="22">
        <v>0</v>
      </c>
      <c r="AG62" s="22">
        <v>0</v>
      </c>
      <c r="AH62" s="43">
        <f>AG62</f>
        <v>0</v>
      </c>
    </row>
    <row r="63" spans="1:35" ht="17.25" x14ac:dyDescent="0.25">
      <c r="A63" s="15">
        <v>19</v>
      </c>
      <c r="B63" s="42" t="s">
        <v>230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6"/>
      <c r="O63" s="26"/>
      <c r="P63" s="26"/>
      <c r="Q63" s="26"/>
      <c r="R63" s="22">
        <v>0</v>
      </c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36"/>
      <c r="AF63" s="22">
        <v>0</v>
      </c>
      <c r="AG63" s="22">
        <v>0</v>
      </c>
      <c r="AH63" s="43">
        <f>AG63</f>
        <v>0</v>
      </c>
    </row>
    <row r="64" spans="1:35" ht="17.25" x14ac:dyDescent="0.25">
      <c r="A64" s="15">
        <v>20</v>
      </c>
      <c r="B64" s="42" t="s">
        <v>231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6"/>
      <c r="O64" s="26"/>
      <c r="P64" s="26"/>
      <c r="Q64" s="26"/>
      <c r="R64" s="22">
        <v>0</v>
      </c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36"/>
      <c r="AF64" s="22">
        <v>0</v>
      </c>
      <c r="AG64" s="22">
        <v>0</v>
      </c>
      <c r="AH64" s="43">
        <f>AG64</f>
        <v>0</v>
      </c>
    </row>
    <row r="65" spans="1:36" ht="17.25" x14ac:dyDescent="0.25">
      <c r="A65" s="15">
        <v>21</v>
      </c>
      <c r="B65" s="42" t="s">
        <v>232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6"/>
      <c r="O65" s="26"/>
      <c r="P65" s="26"/>
      <c r="Q65" s="26"/>
      <c r="R65" s="22">
        <v>0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36"/>
      <c r="AF65" s="22">
        <v>0</v>
      </c>
      <c r="AG65" s="22">
        <v>0</v>
      </c>
      <c r="AH65" s="43">
        <f>AG65</f>
        <v>0</v>
      </c>
      <c r="AJ65" s="67"/>
    </row>
    <row r="66" spans="1:36" ht="15.75" x14ac:dyDescent="0.25">
      <c r="A66" s="15">
        <v>22</v>
      </c>
      <c r="B66" s="44" t="s">
        <v>208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1">
        <f>SUM(AH45:AH65)</f>
        <v>293866666.66666669</v>
      </c>
    </row>
    <row r="67" spans="1:36" ht="15.75" x14ac:dyDescent="0.25">
      <c r="A67" s="15">
        <v>23</v>
      </c>
      <c r="B67" s="45" t="s">
        <v>233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>
        <f>AH44+AH66</f>
        <v>2738032892.7681694</v>
      </c>
    </row>
    <row r="68" spans="1:36" ht="15.75" x14ac:dyDescent="0.25">
      <c r="A68" s="35">
        <v>1</v>
      </c>
      <c r="B68" s="47" t="s">
        <v>234</v>
      </c>
      <c r="C68" s="24"/>
      <c r="D68" s="24">
        <v>0</v>
      </c>
      <c r="E68" s="24"/>
      <c r="F68" s="24"/>
      <c r="G68" s="24"/>
      <c r="H68" s="24"/>
      <c r="I68" s="24">
        <v>0</v>
      </c>
      <c r="J68" s="24"/>
      <c r="K68" s="24"/>
      <c r="L68" s="24"/>
      <c r="M68" s="24"/>
      <c r="N68" s="26"/>
      <c r="O68" s="26"/>
      <c r="P68" s="26"/>
      <c r="Q68" s="26"/>
      <c r="R68" s="22">
        <v>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>
        <v>0</v>
      </c>
      <c r="AG68" s="22">
        <f>AF68*R68</f>
        <v>0</v>
      </c>
      <c r="AH68" s="16">
        <v>270000000</v>
      </c>
      <c r="AI68" t="s">
        <v>345</v>
      </c>
    </row>
    <row r="69" spans="1:36" ht="15.75" x14ac:dyDescent="0.25">
      <c r="A69" s="35">
        <v>2</v>
      </c>
      <c r="B69" s="47" t="s">
        <v>235</v>
      </c>
      <c r="C69" s="24"/>
      <c r="D69" s="24">
        <v>0</v>
      </c>
      <c r="E69" s="24"/>
      <c r="F69" s="24"/>
      <c r="G69" s="24"/>
      <c r="H69" s="24"/>
      <c r="I69" s="24">
        <v>0</v>
      </c>
      <c r="J69" s="24"/>
      <c r="K69" s="24"/>
      <c r="L69" s="24"/>
      <c r="M69" s="24"/>
      <c r="N69" s="26"/>
      <c r="O69" s="26"/>
      <c r="P69" s="26"/>
      <c r="Q69" s="26"/>
      <c r="R69" s="22">
        <v>0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>
        <v>0</v>
      </c>
      <c r="AG69" s="22">
        <f>AF69*R69</f>
        <v>0</v>
      </c>
      <c r="AH69" s="16">
        <v>95000000</v>
      </c>
      <c r="AI69" t="s">
        <v>345</v>
      </c>
    </row>
    <row r="70" spans="1:36" ht="15.75" x14ac:dyDescent="0.25">
      <c r="A70" s="48">
        <v>3</v>
      </c>
      <c r="B70" s="133" t="s">
        <v>236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4"/>
      <c r="AH70" s="49">
        <f>AH67+AH68+AH69</f>
        <v>3103032892.7681694</v>
      </c>
    </row>
    <row r="71" spans="1:36" ht="15.75" x14ac:dyDescent="0.25">
      <c r="A71" s="135" t="s">
        <v>237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7"/>
    </row>
    <row r="72" spans="1:36" ht="15.75" x14ac:dyDescent="0.25">
      <c r="A72" s="138" t="s">
        <v>238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40"/>
    </row>
    <row r="73" spans="1:36" ht="15.75" x14ac:dyDescent="0.25">
      <c r="A73" s="141" t="s">
        <v>239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3"/>
    </row>
    <row r="74" spans="1:36" ht="15.75" x14ac:dyDescent="0.25">
      <c r="A74" s="144" t="s">
        <v>240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6"/>
    </row>
    <row r="75" spans="1:36" x14ac:dyDescent="0.25">
      <c r="A75" s="123" t="s">
        <v>241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5"/>
    </row>
    <row r="76" spans="1:36" x14ac:dyDescent="0.25">
      <c r="A76" s="123" t="s">
        <v>242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5"/>
    </row>
    <row r="77" spans="1:36" ht="15.75" thickBot="1" x14ac:dyDescent="0.3">
      <c r="A77" s="126" t="s">
        <v>243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8"/>
    </row>
    <row r="78" spans="1:36" ht="15.75" thickBot="1" x14ac:dyDescent="0.3">
      <c r="A78" s="129" t="s">
        <v>244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1"/>
    </row>
    <row r="79" spans="1:36" x14ac:dyDescent="0.25">
      <c r="B79"/>
      <c r="N79"/>
      <c r="O79"/>
      <c r="P79"/>
      <c r="Q79"/>
    </row>
    <row r="80" spans="1:36" x14ac:dyDescent="0.25">
      <c r="B80"/>
      <c r="N80"/>
      <c r="O80"/>
      <c r="P80"/>
      <c r="Q80"/>
    </row>
    <row r="81" spans="2:17" x14ac:dyDescent="0.25">
      <c r="B81"/>
      <c r="N81"/>
      <c r="O81"/>
      <c r="P81"/>
      <c r="Q81"/>
    </row>
    <row r="82" spans="2:17" x14ac:dyDescent="0.25">
      <c r="B82"/>
      <c r="N82"/>
      <c r="O82"/>
      <c r="P82"/>
      <c r="Q82"/>
    </row>
    <row r="83" spans="2:17" x14ac:dyDescent="0.25">
      <c r="B83"/>
      <c r="N83"/>
      <c r="O83"/>
      <c r="P83"/>
      <c r="Q83"/>
    </row>
    <row r="84" spans="2:17" x14ac:dyDescent="0.25">
      <c r="B84"/>
      <c r="N84"/>
      <c r="O84"/>
      <c r="P84"/>
      <c r="Q84"/>
    </row>
    <row r="85" spans="2:17" x14ac:dyDescent="0.25">
      <c r="B85"/>
      <c r="N85"/>
      <c r="O85"/>
      <c r="P85"/>
      <c r="Q85"/>
    </row>
    <row r="86" spans="2:17" x14ac:dyDescent="0.25">
      <c r="B86"/>
      <c r="N86"/>
      <c r="O86"/>
      <c r="P86"/>
      <c r="Q86"/>
    </row>
    <row r="87" spans="2:17" x14ac:dyDescent="0.25">
      <c r="B87"/>
      <c r="N87"/>
      <c r="O87"/>
      <c r="P87"/>
      <c r="Q87"/>
    </row>
    <row r="88" spans="2:17" x14ac:dyDescent="0.25">
      <c r="B88"/>
      <c r="N88"/>
      <c r="O88"/>
      <c r="P88"/>
      <c r="Q88"/>
    </row>
    <row r="89" spans="2:17" x14ac:dyDescent="0.25">
      <c r="B89"/>
      <c r="N89"/>
      <c r="O89"/>
      <c r="P89"/>
      <c r="Q89"/>
    </row>
    <row r="90" spans="2:17" x14ac:dyDescent="0.25">
      <c r="B90"/>
      <c r="N90"/>
      <c r="O90"/>
      <c r="P90"/>
      <c r="Q90"/>
    </row>
    <row r="91" spans="2:17" x14ac:dyDescent="0.25">
      <c r="B91"/>
      <c r="N91"/>
      <c r="O91"/>
      <c r="P91"/>
      <c r="Q91"/>
    </row>
    <row r="92" spans="2:17" x14ac:dyDescent="0.25">
      <c r="B92"/>
      <c r="N92"/>
      <c r="O92"/>
      <c r="P92"/>
      <c r="Q92"/>
    </row>
    <row r="93" spans="2:17" x14ac:dyDescent="0.25">
      <c r="B93"/>
      <c r="N93"/>
      <c r="O93"/>
      <c r="P93"/>
      <c r="Q93"/>
    </row>
    <row r="94" spans="2:17" x14ac:dyDescent="0.25">
      <c r="B94"/>
      <c r="N94"/>
      <c r="O94"/>
      <c r="P94"/>
      <c r="Q94"/>
    </row>
    <row r="95" spans="2:17" x14ac:dyDescent="0.25">
      <c r="B95"/>
      <c r="N95"/>
      <c r="O95"/>
      <c r="P95"/>
      <c r="Q95"/>
    </row>
    <row r="96" spans="2:17" x14ac:dyDescent="0.25">
      <c r="B96"/>
      <c r="N96"/>
      <c r="O96"/>
      <c r="P96"/>
      <c r="Q96"/>
    </row>
    <row r="97" spans="2:17" x14ac:dyDescent="0.25">
      <c r="B97"/>
      <c r="N97"/>
      <c r="O97"/>
      <c r="P97"/>
      <c r="Q97"/>
    </row>
    <row r="98" spans="2:17" x14ac:dyDescent="0.25">
      <c r="B98"/>
      <c r="N98"/>
      <c r="O98"/>
      <c r="P98"/>
      <c r="Q98"/>
    </row>
    <row r="99" spans="2:17" x14ac:dyDescent="0.25">
      <c r="B99"/>
      <c r="N99"/>
      <c r="O99"/>
      <c r="P99"/>
      <c r="Q99"/>
    </row>
    <row r="100" spans="2:17" x14ac:dyDescent="0.25">
      <c r="B100"/>
      <c r="N100"/>
      <c r="O100"/>
      <c r="P100"/>
      <c r="Q100"/>
    </row>
    <row r="101" spans="2:17" x14ac:dyDescent="0.25">
      <c r="B101"/>
      <c r="N101"/>
      <c r="O101"/>
      <c r="P101"/>
      <c r="Q101"/>
    </row>
    <row r="102" spans="2:17" x14ac:dyDescent="0.25">
      <c r="B102"/>
      <c r="N102"/>
      <c r="O102"/>
      <c r="P102"/>
      <c r="Q102"/>
    </row>
    <row r="103" spans="2:17" x14ac:dyDescent="0.25">
      <c r="B103"/>
      <c r="N103"/>
      <c r="O103"/>
      <c r="P103"/>
      <c r="Q103"/>
    </row>
    <row r="104" spans="2:17" x14ac:dyDescent="0.25">
      <c r="B104"/>
      <c r="N104"/>
      <c r="O104"/>
      <c r="P104"/>
      <c r="Q104"/>
    </row>
    <row r="105" spans="2:17" x14ac:dyDescent="0.25">
      <c r="B105"/>
      <c r="N105"/>
      <c r="O105"/>
      <c r="P105"/>
      <c r="Q105"/>
    </row>
    <row r="106" spans="2:17" x14ac:dyDescent="0.25">
      <c r="B106"/>
      <c r="N106"/>
      <c r="O106"/>
      <c r="P106"/>
      <c r="Q106"/>
    </row>
    <row r="107" spans="2:17" x14ac:dyDescent="0.25">
      <c r="B107"/>
      <c r="N107"/>
      <c r="O107"/>
      <c r="P107"/>
      <c r="Q107"/>
    </row>
    <row r="108" spans="2:17" x14ac:dyDescent="0.25">
      <c r="B108"/>
      <c r="N108"/>
      <c r="O108"/>
      <c r="P108"/>
      <c r="Q108"/>
    </row>
    <row r="109" spans="2:17" x14ac:dyDescent="0.25">
      <c r="B109"/>
      <c r="N109"/>
      <c r="O109"/>
      <c r="P109"/>
      <c r="Q109"/>
    </row>
    <row r="110" spans="2:17" x14ac:dyDescent="0.25">
      <c r="B110"/>
      <c r="N110"/>
      <c r="O110"/>
      <c r="P110"/>
      <c r="Q110"/>
    </row>
    <row r="111" spans="2:17" x14ac:dyDescent="0.25">
      <c r="B111"/>
      <c r="N111"/>
      <c r="O111"/>
      <c r="P111"/>
      <c r="Q111"/>
    </row>
    <row r="112" spans="2:17" x14ac:dyDescent="0.25">
      <c r="B112"/>
      <c r="N112"/>
      <c r="O112"/>
      <c r="P112"/>
      <c r="Q112"/>
    </row>
    <row r="113" spans="2:17" x14ac:dyDescent="0.25">
      <c r="B113"/>
      <c r="N113"/>
      <c r="O113"/>
      <c r="P113"/>
      <c r="Q113"/>
    </row>
    <row r="114" spans="2:17" x14ac:dyDescent="0.25">
      <c r="B114"/>
      <c r="N114"/>
      <c r="O114"/>
      <c r="P114"/>
      <c r="Q114"/>
    </row>
    <row r="115" spans="2:17" x14ac:dyDescent="0.25">
      <c r="B115"/>
      <c r="N115"/>
      <c r="O115"/>
      <c r="P115"/>
      <c r="Q115"/>
    </row>
    <row r="116" spans="2:17" x14ac:dyDescent="0.25">
      <c r="B116"/>
      <c r="N116"/>
      <c r="O116"/>
      <c r="P116"/>
      <c r="Q116"/>
    </row>
    <row r="117" spans="2:17" x14ac:dyDescent="0.25">
      <c r="B117"/>
      <c r="N117"/>
      <c r="O117"/>
      <c r="P117"/>
      <c r="Q117"/>
    </row>
    <row r="118" spans="2:17" x14ac:dyDescent="0.25">
      <c r="B118"/>
      <c r="N118"/>
      <c r="O118"/>
      <c r="P118"/>
      <c r="Q118"/>
    </row>
    <row r="119" spans="2:17" x14ac:dyDescent="0.25">
      <c r="B119"/>
      <c r="N119"/>
      <c r="O119"/>
      <c r="P119"/>
      <c r="Q119"/>
    </row>
    <row r="120" spans="2:17" x14ac:dyDescent="0.25">
      <c r="B120"/>
      <c r="N120"/>
      <c r="O120"/>
      <c r="P120"/>
      <c r="Q120"/>
    </row>
    <row r="121" spans="2:17" x14ac:dyDescent="0.25">
      <c r="B121"/>
      <c r="N121"/>
      <c r="O121"/>
      <c r="P121"/>
      <c r="Q121"/>
    </row>
    <row r="122" spans="2:17" x14ac:dyDescent="0.25">
      <c r="B122"/>
      <c r="N122"/>
      <c r="O122"/>
      <c r="P122"/>
      <c r="Q122"/>
    </row>
    <row r="123" spans="2:17" x14ac:dyDescent="0.25">
      <c r="B123"/>
      <c r="N123"/>
      <c r="O123"/>
      <c r="P123"/>
      <c r="Q123"/>
    </row>
    <row r="124" spans="2:17" x14ac:dyDescent="0.25">
      <c r="B124"/>
      <c r="N124"/>
      <c r="O124"/>
      <c r="P124"/>
      <c r="Q124"/>
    </row>
    <row r="125" spans="2:17" x14ac:dyDescent="0.25">
      <c r="B125"/>
      <c r="N125"/>
      <c r="O125"/>
      <c r="P125"/>
      <c r="Q125"/>
    </row>
    <row r="126" spans="2:17" x14ac:dyDescent="0.25">
      <c r="B126"/>
      <c r="N126"/>
      <c r="O126"/>
      <c r="P126"/>
      <c r="Q126"/>
    </row>
    <row r="127" spans="2:17" x14ac:dyDescent="0.25">
      <c r="B127"/>
      <c r="N127"/>
      <c r="O127"/>
      <c r="P127"/>
      <c r="Q127"/>
    </row>
    <row r="128" spans="2:17" x14ac:dyDescent="0.25">
      <c r="B128"/>
      <c r="N128"/>
      <c r="O128"/>
      <c r="P128"/>
      <c r="Q128"/>
    </row>
    <row r="129" spans="2:17" x14ac:dyDescent="0.25">
      <c r="B129"/>
      <c r="N129"/>
      <c r="O129"/>
      <c r="P129"/>
      <c r="Q129"/>
    </row>
    <row r="130" spans="2:17" x14ac:dyDescent="0.25">
      <c r="B130"/>
      <c r="N130"/>
      <c r="O130"/>
      <c r="P130"/>
      <c r="Q130"/>
    </row>
    <row r="131" spans="2:17" x14ac:dyDescent="0.25">
      <c r="B131"/>
      <c r="N131"/>
      <c r="O131"/>
      <c r="P131"/>
      <c r="Q131"/>
    </row>
    <row r="132" spans="2:17" x14ac:dyDescent="0.25">
      <c r="B132"/>
      <c r="N132"/>
      <c r="O132"/>
      <c r="P132"/>
      <c r="Q132"/>
    </row>
    <row r="133" spans="2:17" x14ac:dyDescent="0.25">
      <c r="B133"/>
      <c r="N133"/>
      <c r="O133"/>
      <c r="P133"/>
      <c r="Q133"/>
    </row>
    <row r="134" spans="2:17" x14ac:dyDescent="0.25">
      <c r="B134"/>
      <c r="N134"/>
      <c r="O134"/>
      <c r="P134"/>
      <c r="Q134"/>
    </row>
    <row r="135" spans="2:17" x14ac:dyDescent="0.25">
      <c r="B135"/>
      <c r="N135"/>
      <c r="O135"/>
      <c r="P135"/>
      <c r="Q135"/>
    </row>
    <row r="136" spans="2:17" x14ac:dyDescent="0.25">
      <c r="B136"/>
      <c r="N136"/>
      <c r="O136"/>
      <c r="P136"/>
      <c r="Q136"/>
    </row>
    <row r="137" spans="2:17" x14ac:dyDescent="0.25">
      <c r="B137"/>
      <c r="N137"/>
      <c r="O137"/>
      <c r="P137"/>
      <c r="Q137"/>
    </row>
    <row r="138" spans="2:17" x14ac:dyDescent="0.25">
      <c r="B138"/>
      <c r="N138"/>
      <c r="O138"/>
      <c r="P138"/>
      <c r="Q138"/>
    </row>
    <row r="139" spans="2:17" x14ac:dyDescent="0.25">
      <c r="B139"/>
      <c r="N139"/>
      <c r="O139"/>
      <c r="P139"/>
      <c r="Q139"/>
    </row>
    <row r="140" spans="2:17" x14ac:dyDescent="0.25">
      <c r="B140"/>
      <c r="N140"/>
      <c r="O140"/>
      <c r="P140"/>
      <c r="Q140"/>
    </row>
    <row r="141" spans="2:17" x14ac:dyDescent="0.25">
      <c r="B141"/>
      <c r="N141"/>
      <c r="O141"/>
      <c r="P141"/>
      <c r="Q141"/>
    </row>
    <row r="142" spans="2:17" x14ac:dyDescent="0.25">
      <c r="B142"/>
      <c r="N142"/>
      <c r="O142"/>
      <c r="P142"/>
      <c r="Q142"/>
    </row>
    <row r="143" spans="2:17" x14ac:dyDescent="0.25">
      <c r="B143"/>
      <c r="N143"/>
      <c r="O143"/>
      <c r="P143"/>
      <c r="Q143"/>
    </row>
    <row r="144" spans="2:17" x14ac:dyDescent="0.25">
      <c r="B144"/>
      <c r="N144"/>
      <c r="O144"/>
      <c r="P144"/>
      <c r="Q144"/>
    </row>
    <row r="145" spans="2:17" x14ac:dyDescent="0.25">
      <c r="B145"/>
      <c r="N145"/>
      <c r="O145"/>
      <c r="P145"/>
      <c r="Q145"/>
    </row>
    <row r="146" spans="2:17" x14ac:dyDescent="0.25">
      <c r="B146"/>
      <c r="N146"/>
      <c r="O146"/>
      <c r="P146"/>
      <c r="Q146"/>
    </row>
    <row r="147" spans="2:17" x14ac:dyDescent="0.25">
      <c r="B147"/>
      <c r="N147"/>
      <c r="O147"/>
      <c r="P147"/>
      <c r="Q147"/>
    </row>
    <row r="148" spans="2:17" x14ac:dyDescent="0.25">
      <c r="B148"/>
      <c r="N148"/>
      <c r="O148"/>
      <c r="P148"/>
      <c r="Q148"/>
    </row>
    <row r="149" spans="2:17" x14ac:dyDescent="0.25">
      <c r="B149"/>
      <c r="N149"/>
      <c r="O149"/>
      <c r="P149"/>
      <c r="Q149"/>
    </row>
    <row r="150" spans="2:17" x14ac:dyDescent="0.25">
      <c r="B150"/>
      <c r="N150"/>
      <c r="O150"/>
      <c r="P150"/>
      <c r="Q150"/>
    </row>
    <row r="151" spans="2:17" x14ac:dyDescent="0.25">
      <c r="B151"/>
      <c r="N151"/>
      <c r="O151"/>
      <c r="P151"/>
      <c r="Q151"/>
    </row>
    <row r="152" spans="2:17" x14ac:dyDescent="0.25">
      <c r="B152"/>
      <c r="N152"/>
      <c r="O152"/>
      <c r="P152"/>
      <c r="Q152"/>
    </row>
    <row r="153" spans="2:17" x14ac:dyDescent="0.25">
      <c r="B153"/>
      <c r="N153"/>
      <c r="O153"/>
      <c r="P153"/>
      <c r="Q153"/>
    </row>
    <row r="154" spans="2:17" x14ac:dyDescent="0.25">
      <c r="B154"/>
      <c r="N154"/>
      <c r="O154"/>
      <c r="P154"/>
      <c r="Q154"/>
    </row>
    <row r="155" spans="2:17" x14ac:dyDescent="0.25">
      <c r="B155"/>
      <c r="N155"/>
      <c r="O155"/>
      <c r="P155"/>
      <c r="Q155"/>
    </row>
    <row r="156" spans="2:17" x14ac:dyDescent="0.25">
      <c r="B156"/>
      <c r="N156"/>
      <c r="O156"/>
      <c r="P156"/>
      <c r="Q156"/>
    </row>
    <row r="157" spans="2:17" x14ac:dyDescent="0.25">
      <c r="B157"/>
      <c r="N157"/>
      <c r="O157"/>
      <c r="P157"/>
      <c r="Q157"/>
    </row>
    <row r="158" spans="2:17" x14ac:dyDescent="0.25">
      <c r="B158"/>
      <c r="N158"/>
      <c r="O158"/>
      <c r="P158"/>
      <c r="Q158"/>
    </row>
    <row r="159" spans="2:17" x14ac:dyDescent="0.25">
      <c r="B159"/>
      <c r="N159"/>
      <c r="O159"/>
      <c r="P159"/>
      <c r="Q159"/>
    </row>
    <row r="160" spans="2:17" x14ac:dyDescent="0.25">
      <c r="B160"/>
      <c r="N160"/>
      <c r="O160"/>
      <c r="P160"/>
      <c r="Q160"/>
    </row>
    <row r="161" spans="2:17" x14ac:dyDescent="0.25">
      <c r="B161"/>
      <c r="N161"/>
      <c r="O161"/>
      <c r="P161"/>
      <c r="Q161"/>
    </row>
    <row r="162" spans="2:17" x14ac:dyDescent="0.25">
      <c r="B162"/>
      <c r="N162"/>
      <c r="O162"/>
      <c r="P162"/>
      <c r="Q162"/>
    </row>
    <row r="163" spans="2:17" x14ac:dyDescent="0.25">
      <c r="B163"/>
      <c r="N163"/>
      <c r="O163"/>
      <c r="P163"/>
      <c r="Q163"/>
    </row>
    <row r="164" spans="2:17" x14ac:dyDescent="0.25">
      <c r="B164"/>
      <c r="N164"/>
      <c r="O164"/>
      <c r="P164"/>
      <c r="Q164"/>
    </row>
    <row r="165" spans="2:17" x14ac:dyDescent="0.25">
      <c r="B165"/>
      <c r="N165"/>
      <c r="O165"/>
      <c r="P165"/>
      <c r="Q165"/>
    </row>
    <row r="166" spans="2:17" x14ac:dyDescent="0.25">
      <c r="B166"/>
      <c r="N166"/>
      <c r="O166"/>
      <c r="P166"/>
      <c r="Q166"/>
    </row>
    <row r="167" spans="2:17" x14ac:dyDescent="0.25">
      <c r="B167"/>
      <c r="N167"/>
      <c r="O167"/>
      <c r="P167"/>
      <c r="Q167"/>
    </row>
    <row r="168" spans="2:17" x14ac:dyDescent="0.25">
      <c r="B168"/>
      <c r="N168"/>
      <c r="O168"/>
      <c r="P168"/>
      <c r="Q168"/>
    </row>
    <row r="169" spans="2:17" x14ac:dyDescent="0.25">
      <c r="B169"/>
      <c r="N169"/>
      <c r="O169"/>
      <c r="P169"/>
      <c r="Q169"/>
    </row>
    <row r="170" spans="2:17" x14ac:dyDescent="0.25">
      <c r="B170"/>
      <c r="N170"/>
      <c r="O170"/>
      <c r="P170"/>
      <c r="Q170"/>
    </row>
    <row r="171" spans="2:17" x14ac:dyDescent="0.25">
      <c r="B171"/>
      <c r="N171"/>
      <c r="O171"/>
      <c r="P171"/>
      <c r="Q171"/>
    </row>
    <row r="172" spans="2:17" x14ac:dyDescent="0.25">
      <c r="B172"/>
      <c r="N172"/>
      <c r="O172"/>
      <c r="P172"/>
      <c r="Q172"/>
    </row>
    <row r="173" spans="2:17" x14ac:dyDescent="0.25">
      <c r="B173"/>
      <c r="N173"/>
      <c r="O173"/>
      <c r="P173"/>
      <c r="Q173"/>
    </row>
    <row r="174" spans="2:17" x14ac:dyDescent="0.25">
      <c r="B174"/>
      <c r="N174"/>
      <c r="O174"/>
      <c r="P174"/>
      <c r="Q174"/>
    </row>
    <row r="175" spans="2:17" x14ac:dyDescent="0.25">
      <c r="B175"/>
      <c r="N175"/>
      <c r="O175"/>
      <c r="P175"/>
      <c r="Q175"/>
    </row>
    <row r="176" spans="2:17" x14ac:dyDescent="0.25">
      <c r="B176"/>
      <c r="N176"/>
      <c r="O176"/>
      <c r="P176"/>
      <c r="Q176"/>
    </row>
    <row r="177" spans="2:17" x14ac:dyDescent="0.25">
      <c r="B177"/>
      <c r="N177"/>
      <c r="O177"/>
      <c r="P177"/>
      <c r="Q177"/>
    </row>
    <row r="178" spans="2:17" x14ac:dyDescent="0.25">
      <c r="B178"/>
      <c r="N178"/>
      <c r="O178"/>
      <c r="P178"/>
      <c r="Q178"/>
    </row>
    <row r="179" spans="2:17" x14ac:dyDescent="0.25">
      <c r="B179"/>
      <c r="N179"/>
      <c r="O179"/>
      <c r="P179"/>
      <c r="Q179"/>
    </row>
    <row r="180" spans="2:17" x14ac:dyDescent="0.25">
      <c r="B180"/>
      <c r="N180"/>
      <c r="O180"/>
      <c r="P180"/>
      <c r="Q180"/>
    </row>
    <row r="181" spans="2:17" x14ac:dyDescent="0.25">
      <c r="B181"/>
      <c r="N181"/>
      <c r="O181"/>
      <c r="P181"/>
      <c r="Q181"/>
    </row>
    <row r="182" spans="2:17" x14ac:dyDescent="0.25">
      <c r="B182"/>
      <c r="N182"/>
      <c r="O182"/>
      <c r="P182"/>
      <c r="Q182"/>
    </row>
    <row r="183" spans="2:17" x14ac:dyDescent="0.25">
      <c r="B183"/>
      <c r="N183"/>
      <c r="O183"/>
      <c r="P183"/>
      <c r="Q183"/>
    </row>
    <row r="184" spans="2:17" x14ac:dyDescent="0.25">
      <c r="B184"/>
      <c r="N184"/>
      <c r="O184"/>
      <c r="P184"/>
      <c r="Q184"/>
    </row>
    <row r="185" spans="2:17" x14ac:dyDescent="0.25">
      <c r="B185"/>
      <c r="N185"/>
      <c r="O185"/>
      <c r="P185"/>
      <c r="Q185"/>
    </row>
    <row r="186" spans="2:17" x14ac:dyDescent="0.25">
      <c r="B186"/>
      <c r="N186"/>
      <c r="O186"/>
      <c r="P186"/>
      <c r="Q186"/>
    </row>
    <row r="187" spans="2:17" x14ac:dyDescent="0.25">
      <c r="B187"/>
      <c r="N187"/>
      <c r="O187"/>
      <c r="P187"/>
      <c r="Q187"/>
    </row>
    <row r="188" spans="2:17" x14ac:dyDescent="0.25">
      <c r="B188"/>
      <c r="N188"/>
      <c r="O188"/>
      <c r="P188"/>
      <c r="Q188"/>
    </row>
    <row r="189" spans="2:17" x14ac:dyDescent="0.25">
      <c r="B189"/>
      <c r="N189"/>
      <c r="O189"/>
      <c r="P189"/>
      <c r="Q189"/>
    </row>
    <row r="190" spans="2:17" x14ac:dyDescent="0.25">
      <c r="B190"/>
      <c r="N190"/>
      <c r="O190"/>
      <c r="P190"/>
      <c r="Q190"/>
    </row>
    <row r="191" spans="2:17" x14ac:dyDescent="0.25">
      <c r="B191"/>
      <c r="N191"/>
      <c r="O191"/>
      <c r="P191"/>
      <c r="Q191"/>
    </row>
    <row r="192" spans="2:17" x14ac:dyDescent="0.25">
      <c r="B192"/>
      <c r="N192"/>
      <c r="O192"/>
      <c r="P192"/>
      <c r="Q192"/>
    </row>
    <row r="193" spans="2:17" x14ac:dyDescent="0.25">
      <c r="B193"/>
      <c r="N193"/>
      <c r="O193"/>
      <c r="P193"/>
      <c r="Q193"/>
    </row>
    <row r="194" spans="2:17" x14ac:dyDescent="0.25">
      <c r="B194"/>
      <c r="N194"/>
      <c r="O194"/>
      <c r="P194"/>
      <c r="Q194"/>
    </row>
    <row r="195" spans="2:17" x14ac:dyDescent="0.25">
      <c r="B195"/>
      <c r="N195"/>
      <c r="O195"/>
      <c r="P195"/>
      <c r="Q195"/>
    </row>
    <row r="196" spans="2:17" x14ac:dyDescent="0.25">
      <c r="B196"/>
      <c r="N196"/>
      <c r="O196"/>
      <c r="P196"/>
      <c r="Q196"/>
    </row>
    <row r="197" spans="2:17" x14ac:dyDescent="0.25">
      <c r="B197"/>
      <c r="N197"/>
      <c r="O197"/>
      <c r="P197"/>
      <c r="Q197"/>
    </row>
    <row r="198" spans="2:17" x14ac:dyDescent="0.25">
      <c r="B198"/>
      <c r="N198"/>
      <c r="O198"/>
      <c r="P198"/>
      <c r="Q198"/>
    </row>
    <row r="199" spans="2:17" x14ac:dyDescent="0.25">
      <c r="B199"/>
      <c r="N199"/>
      <c r="O199"/>
      <c r="P199"/>
      <c r="Q199"/>
    </row>
    <row r="200" spans="2:17" x14ac:dyDescent="0.25">
      <c r="B200"/>
      <c r="N200"/>
      <c r="O200"/>
      <c r="P200"/>
      <c r="Q200"/>
    </row>
    <row r="201" spans="2:17" x14ac:dyDescent="0.25">
      <c r="B201"/>
      <c r="N201"/>
      <c r="O201"/>
      <c r="P201"/>
      <c r="Q201"/>
    </row>
    <row r="202" spans="2:17" x14ac:dyDescent="0.25">
      <c r="B202"/>
      <c r="N202"/>
      <c r="O202"/>
      <c r="P202"/>
      <c r="Q202"/>
    </row>
    <row r="203" spans="2:17" x14ac:dyDescent="0.25">
      <c r="B203"/>
      <c r="N203"/>
      <c r="O203"/>
      <c r="P203"/>
      <c r="Q203"/>
    </row>
    <row r="204" spans="2:17" x14ac:dyDescent="0.25">
      <c r="B204"/>
      <c r="N204"/>
      <c r="O204"/>
      <c r="P204"/>
      <c r="Q204"/>
    </row>
    <row r="205" spans="2:17" x14ac:dyDescent="0.25">
      <c r="B205"/>
      <c r="N205"/>
      <c r="O205"/>
      <c r="P205"/>
      <c r="Q205"/>
    </row>
    <row r="206" spans="2:17" x14ac:dyDescent="0.25">
      <c r="B206"/>
      <c r="N206"/>
      <c r="O206"/>
      <c r="P206"/>
      <c r="Q206"/>
    </row>
    <row r="207" spans="2:17" x14ac:dyDescent="0.25">
      <c r="B207"/>
      <c r="N207"/>
      <c r="O207"/>
      <c r="P207"/>
      <c r="Q207"/>
    </row>
    <row r="208" spans="2:17" x14ac:dyDescent="0.25">
      <c r="B208"/>
      <c r="N208"/>
      <c r="O208"/>
      <c r="P208"/>
      <c r="Q208"/>
    </row>
    <row r="209" spans="2:17" x14ac:dyDescent="0.25">
      <c r="B209"/>
      <c r="N209"/>
      <c r="O209"/>
      <c r="P209"/>
      <c r="Q209"/>
    </row>
    <row r="210" spans="2:17" x14ac:dyDescent="0.25">
      <c r="B210"/>
      <c r="N210"/>
      <c r="O210"/>
      <c r="P210"/>
      <c r="Q210"/>
    </row>
    <row r="211" spans="2:17" x14ac:dyDescent="0.25">
      <c r="B211"/>
      <c r="N211"/>
      <c r="O211"/>
      <c r="P211"/>
      <c r="Q211"/>
    </row>
    <row r="212" spans="2:17" x14ac:dyDescent="0.25">
      <c r="B212"/>
      <c r="N212"/>
      <c r="O212"/>
      <c r="P212"/>
      <c r="Q212"/>
    </row>
    <row r="213" spans="2:17" x14ac:dyDescent="0.25">
      <c r="B213"/>
      <c r="N213"/>
      <c r="O213"/>
      <c r="P213"/>
      <c r="Q213"/>
    </row>
    <row r="214" spans="2:17" x14ac:dyDescent="0.25">
      <c r="B214"/>
      <c r="N214"/>
      <c r="O214"/>
      <c r="P214"/>
      <c r="Q214"/>
    </row>
    <row r="215" spans="2:17" x14ac:dyDescent="0.25">
      <c r="B215"/>
      <c r="N215"/>
      <c r="O215"/>
      <c r="P215"/>
      <c r="Q215"/>
    </row>
    <row r="216" spans="2:17" x14ac:dyDescent="0.25">
      <c r="B216"/>
      <c r="N216"/>
      <c r="O216"/>
      <c r="P216"/>
      <c r="Q216"/>
    </row>
    <row r="217" spans="2:17" x14ac:dyDescent="0.25">
      <c r="B217"/>
      <c r="N217"/>
      <c r="O217"/>
      <c r="P217"/>
      <c r="Q217"/>
    </row>
    <row r="218" spans="2:17" x14ac:dyDescent="0.25">
      <c r="B218"/>
      <c r="N218"/>
      <c r="O218"/>
      <c r="P218"/>
      <c r="Q218"/>
    </row>
    <row r="219" spans="2:17" x14ac:dyDescent="0.25">
      <c r="B219"/>
      <c r="N219"/>
      <c r="O219"/>
      <c r="P219"/>
      <c r="Q219"/>
    </row>
    <row r="220" spans="2:17" x14ac:dyDescent="0.25">
      <c r="B220"/>
      <c r="N220"/>
      <c r="O220"/>
      <c r="P220"/>
      <c r="Q220"/>
    </row>
    <row r="221" spans="2:17" x14ac:dyDescent="0.25">
      <c r="B221"/>
      <c r="N221"/>
      <c r="O221"/>
      <c r="P221"/>
      <c r="Q221"/>
    </row>
    <row r="222" spans="2:17" x14ac:dyDescent="0.25">
      <c r="B222"/>
      <c r="N222"/>
      <c r="O222"/>
      <c r="P222"/>
      <c r="Q222"/>
    </row>
    <row r="223" spans="2:17" x14ac:dyDescent="0.25">
      <c r="B223"/>
      <c r="N223"/>
      <c r="O223"/>
      <c r="P223"/>
      <c r="Q223"/>
    </row>
    <row r="224" spans="2:17" x14ac:dyDescent="0.25">
      <c r="B224"/>
      <c r="N224"/>
      <c r="O224"/>
      <c r="P224"/>
      <c r="Q224"/>
    </row>
    <row r="225" spans="2:17" x14ac:dyDescent="0.25">
      <c r="B225"/>
      <c r="N225"/>
      <c r="O225"/>
      <c r="P225"/>
      <c r="Q225"/>
    </row>
    <row r="226" spans="2:17" x14ac:dyDescent="0.25">
      <c r="B226"/>
      <c r="N226"/>
      <c r="O226"/>
      <c r="P226"/>
      <c r="Q226"/>
    </row>
    <row r="227" spans="2:17" x14ac:dyDescent="0.25">
      <c r="B227"/>
      <c r="N227"/>
      <c r="O227"/>
      <c r="P227"/>
      <c r="Q227"/>
    </row>
    <row r="228" spans="2:17" x14ac:dyDescent="0.25">
      <c r="B228"/>
      <c r="N228"/>
      <c r="O228"/>
      <c r="P228"/>
      <c r="Q228"/>
    </row>
    <row r="229" spans="2:17" x14ac:dyDescent="0.25">
      <c r="B229"/>
      <c r="N229"/>
      <c r="O229"/>
      <c r="P229"/>
      <c r="Q229"/>
    </row>
    <row r="230" spans="2:17" x14ac:dyDescent="0.25">
      <c r="B230"/>
      <c r="N230"/>
      <c r="O230"/>
      <c r="P230"/>
      <c r="Q230"/>
    </row>
    <row r="231" spans="2:17" x14ac:dyDescent="0.25">
      <c r="B231"/>
      <c r="N231"/>
      <c r="O231"/>
      <c r="P231"/>
      <c r="Q231"/>
    </row>
    <row r="232" spans="2:17" x14ac:dyDescent="0.25">
      <c r="B232"/>
      <c r="N232"/>
      <c r="O232"/>
      <c r="P232"/>
      <c r="Q232"/>
    </row>
    <row r="233" spans="2:17" x14ac:dyDescent="0.25">
      <c r="B233"/>
      <c r="N233"/>
      <c r="O233"/>
      <c r="P233"/>
      <c r="Q233"/>
    </row>
    <row r="234" spans="2:17" x14ac:dyDescent="0.25">
      <c r="B234"/>
      <c r="N234"/>
      <c r="O234"/>
      <c r="P234"/>
      <c r="Q234"/>
    </row>
    <row r="235" spans="2:17" x14ac:dyDescent="0.25">
      <c r="B235"/>
      <c r="N235"/>
      <c r="O235"/>
      <c r="P235"/>
      <c r="Q235"/>
    </row>
    <row r="236" spans="2:17" x14ac:dyDescent="0.25">
      <c r="B236"/>
      <c r="N236"/>
      <c r="O236"/>
      <c r="P236"/>
      <c r="Q236"/>
    </row>
    <row r="237" spans="2:17" x14ac:dyDescent="0.25">
      <c r="B237"/>
      <c r="N237"/>
      <c r="O237"/>
      <c r="P237"/>
      <c r="Q237"/>
    </row>
    <row r="238" spans="2:17" x14ac:dyDescent="0.25">
      <c r="B238"/>
      <c r="N238"/>
      <c r="O238"/>
      <c r="P238"/>
      <c r="Q238"/>
    </row>
    <row r="239" spans="2:17" x14ac:dyDescent="0.25">
      <c r="B239"/>
      <c r="N239"/>
      <c r="O239"/>
      <c r="P239"/>
      <c r="Q239"/>
    </row>
    <row r="240" spans="2:17" x14ac:dyDescent="0.25">
      <c r="B240"/>
      <c r="N240"/>
      <c r="O240"/>
      <c r="P240"/>
      <c r="Q240"/>
    </row>
    <row r="241" spans="2:17" x14ac:dyDescent="0.25">
      <c r="B241"/>
      <c r="N241"/>
      <c r="O241"/>
      <c r="P241"/>
      <c r="Q241"/>
    </row>
    <row r="242" spans="2:17" x14ac:dyDescent="0.25">
      <c r="B242"/>
      <c r="N242"/>
      <c r="O242"/>
      <c r="P242"/>
      <c r="Q242"/>
    </row>
    <row r="243" spans="2:17" x14ac:dyDescent="0.25">
      <c r="B243"/>
      <c r="N243"/>
      <c r="O243"/>
      <c r="P243"/>
      <c r="Q243"/>
    </row>
    <row r="244" spans="2:17" x14ac:dyDescent="0.25">
      <c r="B244"/>
      <c r="N244"/>
      <c r="O244"/>
      <c r="P244"/>
      <c r="Q244"/>
    </row>
    <row r="245" spans="2:17" x14ac:dyDescent="0.25">
      <c r="B245"/>
      <c r="N245"/>
      <c r="O245"/>
      <c r="P245"/>
      <c r="Q245"/>
    </row>
    <row r="246" spans="2:17" x14ac:dyDescent="0.25">
      <c r="B246"/>
      <c r="N246"/>
      <c r="O246"/>
      <c r="P246"/>
      <c r="Q246"/>
    </row>
    <row r="247" spans="2:17" x14ac:dyDescent="0.25">
      <c r="B247"/>
      <c r="N247"/>
      <c r="O247"/>
      <c r="P247"/>
      <c r="Q247"/>
    </row>
    <row r="248" spans="2:17" x14ac:dyDescent="0.25">
      <c r="B248"/>
      <c r="N248"/>
      <c r="O248"/>
      <c r="P248"/>
      <c r="Q248"/>
    </row>
    <row r="249" spans="2:17" x14ac:dyDescent="0.25">
      <c r="B249"/>
      <c r="N249"/>
      <c r="O249"/>
      <c r="P249"/>
      <c r="Q249"/>
    </row>
    <row r="250" spans="2:17" x14ac:dyDescent="0.25">
      <c r="B250"/>
      <c r="N250"/>
      <c r="O250"/>
      <c r="P250"/>
      <c r="Q250"/>
    </row>
    <row r="251" spans="2:17" x14ac:dyDescent="0.25">
      <c r="B251"/>
      <c r="N251"/>
      <c r="O251"/>
      <c r="P251"/>
      <c r="Q251"/>
    </row>
    <row r="252" spans="2:17" x14ac:dyDescent="0.25">
      <c r="B252"/>
      <c r="N252"/>
      <c r="O252"/>
      <c r="P252"/>
      <c r="Q252"/>
    </row>
    <row r="253" spans="2:17" x14ac:dyDescent="0.25">
      <c r="B253"/>
      <c r="N253"/>
      <c r="O253"/>
      <c r="P253"/>
      <c r="Q253"/>
    </row>
    <row r="254" spans="2:17" x14ac:dyDescent="0.25">
      <c r="B254"/>
      <c r="N254"/>
      <c r="O254"/>
      <c r="P254"/>
      <c r="Q254"/>
    </row>
    <row r="255" spans="2:17" x14ac:dyDescent="0.25">
      <c r="B255"/>
      <c r="N255"/>
      <c r="O255"/>
      <c r="P255"/>
      <c r="Q255"/>
    </row>
    <row r="256" spans="2:17" x14ac:dyDescent="0.25">
      <c r="B256"/>
      <c r="N256"/>
      <c r="O256"/>
      <c r="P256"/>
      <c r="Q256"/>
    </row>
    <row r="257" spans="2:17" x14ac:dyDescent="0.25">
      <c r="B257"/>
      <c r="N257"/>
      <c r="O257"/>
      <c r="P257"/>
      <c r="Q257"/>
    </row>
    <row r="258" spans="2:17" x14ac:dyDescent="0.25">
      <c r="B258"/>
      <c r="N258"/>
      <c r="O258"/>
      <c r="P258"/>
      <c r="Q258"/>
    </row>
    <row r="259" spans="2:17" x14ac:dyDescent="0.25">
      <c r="B259"/>
      <c r="N259"/>
      <c r="O259"/>
      <c r="P259"/>
      <c r="Q259"/>
    </row>
    <row r="260" spans="2:17" x14ac:dyDescent="0.25">
      <c r="B260"/>
      <c r="N260"/>
      <c r="O260"/>
      <c r="P260"/>
      <c r="Q260"/>
    </row>
    <row r="261" spans="2:17" x14ac:dyDescent="0.25">
      <c r="B261"/>
      <c r="N261"/>
      <c r="O261"/>
      <c r="P261"/>
      <c r="Q261"/>
    </row>
    <row r="262" spans="2:17" x14ac:dyDescent="0.25">
      <c r="B262"/>
      <c r="N262"/>
      <c r="O262"/>
      <c r="P262"/>
      <c r="Q262"/>
    </row>
    <row r="263" spans="2:17" x14ac:dyDescent="0.25">
      <c r="B263"/>
      <c r="N263"/>
      <c r="O263"/>
      <c r="P263"/>
      <c r="Q263"/>
    </row>
    <row r="264" spans="2:17" x14ac:dyDescent="0.25">
      <c r="B264"/>
      <c r="N264"/>
      <c r="O264"/>
      <c r="P264"/>
      <c r="Q264"/>
    </row>
    <row r="265" spans="2:17" x14ac:dyDescent="0.25">
      <c r="B265"/>
      <c r="N265"/>
      <c r="O265"/>
      <c r="P265"/>
      <c r="Q265"/>
    </row>
    <row r="266" spans="2:17" x14ac:dyDescent="0.25">
      <c r="B266"/>
      <c r="N266"/>
      <c r="O266"/>
      <c r="P266"/>
      <c r="Q266"/>
    </row>
    <row r="267" spans="2:17" x14ac:dyDescent="0.25">
      <c r="B267"/>
      <c r="N267"/>
      <c r="O267"/>
      <c r="P267"/>
      <c r="Q267"/>
    </row>
    <row r="268" spans="2:17" x14ac:dyDescent="0.25">
      <c r="B268"/>
      <c r="N268"/>
      <c r="O268"/>
      <c r="P268"/>
      <c r="Q268"/>
    </row>
    <row r="269" spans="2:17" x14ac:dyDescent="0.25">
      <c r="B269"/>
      <c r="N269"/>
      <c r="O269"/>
      <c r="P269"/>
      <c r="Q269"/>
    </row>
    <row r="270" spans="2:17" x14ac:dyDescent="0.25">
      <c r="B270"/>
      <c r="N270"/>
      <c r="O270"/>
      <c r="P270"/>
      <c r="Q270"/>
    </row>
    <row r="271" spans="2:17" x14ac:dyDescent="0.25">
      <c r="B271"/>
      <c r="N271"/>
      <c r="O271"/>
      <c r="P271"/>
      <c r="Q271"/>
    </row>
    <row r="272" spans="2:17" x14ac:dyDescent="0.25">
      <c r="B272"/>
      <c r="N272"/>
      <c r="O272"/>
      <c r="P272"/>
      <c r="Q272"/>
    </row>
    <row r="273" spans="2:17" x14ac:dyDescent="0.25">
      <c r="B273"/>
      <c r="N273"/>
      <c r="O273"/>
      <c r="P273"/>
      <c r="Q273"/>
    </row>
    <row r="274" spans="2:17" x14ac:dyDescent="0.25">
      <c r="B274"/>
      <c r="N274"/>
      <c r="O274"/>
      <c r="P274"/>
      <c r="Q274"/>
    </row>
    <row r="275" spans="2:17" x14ac:dyDescent="0.25">
      <c r="B275"/>
      <c r="N275"/>
      <c r="O275"/>
      <c r="P275"/>
      <c r="Q275"/>
    </row>
    <row r="276" spans="2:17" x14ac:dyDescent="0.25">
      <c r="B276"/>
      <c r="N276"/>
      <c r="O276"/>
      <c r="P276"/>
      <c r="Q276"/>
    </row>
    <row r="277" spans="2:17" x14ac:dyDescent="0.25">
      <c r="B277"/>
      <c r="N277"/>
      <c r="O277"/>
      <c r="P277"/>
      <c r="Q277"/>
    </row>
    <row r="278" spans="2:17" x14ac:dyDescent="0.25">
      <c r="B278"/>
      <c r="N278"/>
      <c r="O278"/>
      <c r="P278"/>
      <c r="Q278"/>
    </row>
    <row r="279" spans="2:17" x14ac:dyDescent="0.25">
      <c r="B279"/>
      <c r="N279"/>
      <c r="O279"/>
      <c r="P279"/>
      <c r="Q279"/>
    </row>
    <row r="280" spans="2:17" x14ac:dyDescent="0.25">
      <c r="B280"/>
      <c r="N280"/>
      <c r="O280"/>
      <c r="P280"/>
      <c r="Q280"/>
    </row>
    <row r="281" spans="2:17" x14ac:dyDescent="0.25">
      <c r="B281"/>
      <c r="N281"/>
      <c r="O281"/>
      <c r="P281"/>
      <c r="Q281"/>
    </row>
    <row r="282" spans="2:17" x14ac:dyDescent="0.25">
      <c r="B282"/>
      <c r="N282"/>
      <c r="O282"/>
      <c r="P282"/>
      <c r="Q282"/>
    </row>
    <row r="283" spans="2:17" x14ac:dyDescent="0.25">
      <c r="B283"/>
      <c r="N283"/>
      <c r="O283"/>
      <c r="P283"/>
      <c r="Q283"/>
    </row>
    <row r="284" spans="2:17" x14ac:dyDescent="0.25">
      <c r="B284"/>
      <c r="N284"/>
      <c r="O284"/>
      <c r="P284"/>
      <c r="Q284"/>
    </row>
    <row r="285" spans="2:17" x14ac:dyDescent="0.25">
      <c r="B285"/>
      <c r="N285"/>
      <c r="O285"/>
      <c r="P285"/>
      <c r="Q285"/>
    </row>
    <row r="286" spans="2:17" x14ac:dyDescent="0.25">
      <c r="B286"/>
      <c r="N286"/>
      <c r="O286"/>
      <c r="P286"/>
      <c r="Q286"/>
    </row>
    <row r="287" spans="2:17" x14ac:dyDescent="0.25">
      <c r="B287"/>
      <c r="N287"/>
      <c r="O287"/>
      <c r="P287"/>
      <c r="Q287"/>
    </row>
    <row r="288" spans="2:17" x14ac:dyDescent="0.25">
      <c r="B288"/>
      <c r="N288"/>
      <c r="O288"/>
      <c r="P288"/>
      <c r="Q288"/>
    </row>
    <row r="289" spans="2:17" x14ac:dyDescent="0.25">
      <c r="B289"/>
      <c r="N289"/>
      <c r="O289"/>
      <c r="P289"/>
      <c r="Q289"/>
    </row>
    <row r="290" spans="2:17" x14ac:dyDescent="0.25">
      <c r="B290"/>
      <c r="N290"/>
      <c r="O290"/>
      <c r="P290"/>
      <c r="Q290"/>
    </row>
    <row r="291" spans="2:17" x14ac:dyDescent="0.25">
      <c r="B291"/>
      <c r="N291"/>
      <c r="O291"/>
      <c r="P291"/>
      <c r="Q291"/>
    </row>
    <row r="292" spans="2:17" x14ac:dyDescent="0.25">
      <c r="B292"/>
      <c r="N292"/>
      <c r="O292"/>
      <c r="P292"/>
      <c r="Q292"/>
    </row>
    <row r="293" spans="2:17" x14ac:dyDescent="0.25">
      <c r="B293"/>
      <c r="N293"/>
      <c r="O293"/>
      <c r="P293"/>
      <c r="Q293"/>
    </row>
    <row r="294" spans="2:17" x14ac:dyDescent="0.25">
      <c r="B294"/>
      <c r="N294"/>
      <c r="O294"/>
      <c r="P294"/>
      <c r="Q294"/>
    </row>
    <row r="295" spans="2:17" x14ac:dyDescent="0.25">
      <c r="B295"/>
      <c r="N295"/>
      <c r="O295"/>
      <c r="P295"/>
      <c r="Q295"/>
    </row>
    <row r="296" spans="2:17" x14ac:dyDescent="0.25">
      <c r="B296"/>
      <c r="N296"/>
      <c r="O296"/>
      <c r="P296"/>
      <c r="Q296"/>
    </row>
    <row r="297" spans="2:17" x14ac:dyDescent="0.25">
      <c r="B297"/>
      <c r="N297"/>
      <c r="O297"/>
      <c r="P297"/>
      <c r="Q297"/>
    </row>
    <row r="298" spans="2:17" x14ac:dyDescent="0.25">
      <c r="B298"/>
      <c r="N298"/>
      <c r="O298"/>
      <c r="P298"/>
      <c r="Q298"/>
    </row>
    <row r="299" spans="2:17" x14ac:dyDescent="0.25">
      <c r="B299"/>
      <c r="N299"/>
      <c r="O299"/>
      <c r="P299"/>
      <c r="Q299"/>
    </row>
    <row r="300" spans="2:17" x14ac:dyDescent="0.25">
      <c r="B300"/>
      <c r="N300"/>
      <c r="O300"/>
      <c r="P300"/>
      <c r="Q300"/>
    </row>
    <row r="301" spans="2:17" x14ac:dyDescent="0.25">
      <c r="B301"/>
      <c r="N301"/>
      <c r="O301"/>
      <c r="P301"/>
      <c r="Q301"/>
    </row>
    <row r="302" spans="2:17" x14ac:dyDescent="0.25">
      <c r="B302"/>
      <c r="N302"/>
      <c r="O302"/>
      <c r="P302"/>
      <c r="Q302"/>
    </row>
    <row r="303" spans="2:17" x14ac:dyDescent="0.25">
      <c r="B303"/>
      <c r="N303"/>
      <c r="O303"/>
      <c r="P303"/>
      <c r="Q303"/>
    </row>
    <row r="304" spans="2:17" x14ac:dyDescent="0.25">
      <c r="B304"/>
      <c r="N304"/>
      <c r="O304"/>
      <c r="P304"/>
      <c r="Q304"/>
    </row>
    <row r="305" spans="2:17" x14ac:dyDescent="0.25">
      <c r="B305"/>
      <c r="N305"/>
      <c r="O305"/>
      <c r="P305"/>
      <c r="Q305"/>
    </row>
    <row r="306" spans="2:17" x14ac:dyDescent="0.25">
      <c r="B306"/>
      <c r="N306"/>
      <c r="O306"/>
      <c r="P306"/>
      <c r="Q306"/>
    </row>
    <row r="307" spans="2:17" x14ac:dyDescent="0.25">
      <c r="B307"/>
      <c r="N307"/>
      <c r="O307"/>
      <c r="P307"/>
      <c r="Q307"/>
    </row>
    <row r="308" spans="2:17" x14ac:dyDescent="0.25">
      <c r="B308"/>
      <c r="N308"/>
      <c r="O308"/>
      <c r="P308"/>
      <c r="Q308"/>
    </row>
    <row r="309" spans="2:17" x14ac:dyDescent="0.25">
      <c r="B309"/>
      <c r="N309"/>
      <c r="O309"/>
      <c r="P309"/>
      <c r="Q309"/>
    </row>
    <row r="310" spans="2:17" x14ac:dyDescent="0.25">
      <c r="B310"/>
      <c r="N310"/>
      <c r="O310"/>
      <c r="P310"/>
      <c r="Q310"/>
    </row>
    <row r="311" spans="2:17" x14ac:dyDescent="0.25">
      <c r="B311"/>
      <c r="N311"/>
      <c r="O311"/>
      <c r="P311"/>
      <c r="Q311"/>
    </row>
    <row r="312" spans="2:17" x14ac:dyDescent="0.25">
      <c r="B312"/>
      <c r="N312"/>
      <c r="O312"/>
      <c r="P312"/>
      <c r="Q312"/>
    </row>
    <row r="313" spans="2:17" x14ac:dyDescent="0.25">
      <c r="B313"/>
      <c r="N313"/>
      <c r="O313"/>
      <c r="P313"/>
      <c r="Q313"/>
    </row>
    <row r="314" spans="2:17" x14ac:dyDescent="0.25">
      <c r="B314"/>
      <c r="N314"/>
      <c r="O314"/>
      <c r="P314"/>
      <c r="Q314"/>
    </row>
    <row r="315" spans="2:17" x14ac:dyDescent="0.25">
      <c r="B315"/>
      <c r="N315"/>
      <c r="O315"/>
      <c r="P315"/>
      <c r="Q315"/>
    </row>
    <row r="316" spans="2:17" x14ac:dyDescent="0.25">
      <c r="B316"/>
      <c r="N316"/>
      <c r="O316"/>
      <c r="P316"/>
      <c r="Q316"/>
    </row>
    <row r="317" spans="2:17" x14ac:dyDescent="0.25">
      <c r="B317"/>
      <c r="N317"/>
      <c r="O317"/>
      <c r="P317"/>
      <c r="Q317"/>
    </row>
    <row r="318" spans="2:17" x14ac:dyDescent="0.25">
      <c r="B318"/>
      <c r="N318"/>
      <c r="O318"/>
      <c r="P318"/>
      <c r="Q318"/>
    </row>
    <row r="319" spans="2:17" x14ac:dyDescent="0.25">
      <c r="B319"/>
      <c r="N319"/>
      <c r="O319"/>
      <c r="P319"/>
      <c r="Q319"/>
    </row>
    <row r="320" spans="2:17" x14ac:dyDescent="0.25">
      <c r="B320"/>
      <c r="N320"/>
      <c r="O320"/>
      <c r="P320"/>
      <c r="Q320"/>
    </row>
    <row r="321" spans="2:17" x14ac:dyDescent="0.25">
      <c r="B321"/>
      <c r="N321"/>
      <c r="O321"/>
      <c r="P321"/>
      <c r="Q321"/>
    </row>
    <row r="322" spans="2:17" x14ac:dyDescent="0.25">
      <c r="B322"/>
      <c r="N322"/>
      <c r="O322"/>
      <c r="P322"/>
      <c r="Q322"/>
    </row>
    <row r="323" spans="2:17" x14ac:dyDescent="0.25">
      <c r="B323"/>
      <c r="N323"/>
      <c r="O323"/>
      <c r="P323"/>
      <c r="Q323"/>
    </row>
    <row r="324" spans="2:17" x14ac:dyDescent="0.25">
      <c r="B324"/>
      <c r="N324"/>
      <c r="O324"/>
      <c r="P324"/>
      <c r="Q324"/>
    </row>
    <row r="325" spans="2:17" x14ac:dyDescent="0.25">
      <c r="B325"/>
      <c r="N325"/>
      <c r="O325"/>
      <c r="P325"/>
      <c r="Q325"/>
    </row>
    <row r="326" spans="2:17" x14ac:dyDescent="0.25">
      <c r="B326"/>
      <c r="N326"/>
      <c r="O326"/>
      <c r="P326"/>
      <c r="Q326"/>
    </row>
    <row r="327" spans="2:17" x14ac:dyDescent="0.25">
      <c r="B327"/>
      <c r="N327"/>
      <c r="O327"/>
      <c r="P327"/>
      <c r="Q327"/>
    </row>
    <row r="328" spans="2:17" x14ac:dyDescent="0.25">
      <c r="B328"/>
      <c r="N328"/>
      <c r="O328"/>
      <c r="P328"/>
      <c r="Q328"/>
    </row>
    <row r="329" spans="2:17" x14ac:dyDescent="0.25">
      <c r="B329"/>
      <c r="N329"/>
      <c r="O329"/>
      <c r="P329"/>
      <c r="Q329"/>
    </row>
    <row r="330" spans="2:17" x14ac:dyDescent="0.25">
      <c r="B330"/>
      <c r="N330"/>
      <c r="O330"/>
      <c r="P330"/>
      <c r="Q330"/>
    </row>
    <row r="331" spans="2:17" x14ac:dyDescent="0.25">
      <c r="B331"/>
      <c r="N331"/>
      <c r="O331"/>
      <c r="P331"/>
      <c r="Q331"/>
    </row>
    <row r="332" spans="2:17" x14ac:dyDescent="0.25">
      <c r="B332"/>
      <c r="N332"/>
      <c r="O332"/>
      <c r="P332"/>
      <c r="Q332"/>
    </row>
    <row r="333" spans="2:17" x14ac:dyDescent="0.25">
      <c r="B333"/>
      <c r="N333"/>
      <c r="O333"/>
      <c r="P333"/>
      <c r="Q333"/>
    </row>
    <row r="334" spans="2:17" x14ac:dyDescent="0.25">
      <c r="B334"/>
      <c r="N334"/>
      <c r="O334"/>
      <c r="P334"/>
      <c r="Q334"/>
    </row>
    <row r="335" spans="2:17" x14ac:dyDescent="0.25">
      <c r="B335"/>
      <c r="N335"/>
      <c r="O335"/>
      <c r="P335"/>
      <c r="Q335"/>
    </row>
    <row r="336" spans="2:17" x14ac:dyDescent="0.25">
      <c r="B336"/>
      <c r="N336"/>
      <c r="O336"/>
      <c r="P336"/>
      <c r="Q336"/>
    </row>
    <row r="337" spans="2:17" x14ac:dyDescent="0.25">
      <c r="B337"/>
      <c r="N337"/>
      <c r="O337"/>
      <c r="P337"/>
      <c r="Q337"/>
    </row>
    <row r="338" spans="2:17" x14ac:dyDescent="0.25">
      <c r="B338"/>
      <c r="N338"/>
      <c r="O338"/>
      <c r="P338"/>
      <c r="Q338"/>
    </row>
    <row r="339" spans="2:17" x14ac:dyDescent="0.25">
      <c r="B339"/>
      <c r="N339"/>
      <c r="O339"/>
      <c r="P339"/>
      <c r="Q339"/>
    </row>
    <row r="340" spans="2:17" x14ac:dyDescent="0.25">
      <c r="B340"/>
      <c r="N340"/>
      <c r="O340"/>
      <c r="P340"/>
      <c r="Q340"/>
    </row>
    <row r="341" spans="2:17" x14ac:dyDescent="0.25">
      <c r="B341"/>
      <c r="N341"/>
      <c r="O341"/>
      <c r="P341"/>
      <c r="Q341"/>
    </row>
    <row r="342" spans="2:17" x14ac:dyDescent="0.25">
      <c r="B342"/>
      <c r="N342"/>
      <c r="O342"/>
      <c r="P342"/>
      <c r="Q342"/>
    </row>
    <row r="343" spans="2:17" x14ac:dyDescent="0.25">
      <c r="B343"/>
      <c r="N343"/>
      <c r="O343"/>
      <c r="P343"/>
      <c r="Q343"/>
    </row>
    <row r="344" spans="2:17" x14ac:dyDescent="0.25">
      <c r="B344"/>
      <c r="N344"/>
      <c r="O344"/>
      <c r="P344"/>
      <c r="Q344"/>
    </row>
    <row r="345" spans="2:17" x14ac:dyDescent="0.25">
      <c r="B345"/>
      <c r="N345"/>
      <c r="O345"/>
      <c r="P345"/>
      <c r="Q345"/>
    </row>
    <row r="346" spans="2:17" x14ac:dyDescent="0.25">
      <c r="B346"/>
      <c r="N346"/>
      <c r="O346"/>
      <c r="P346"/>
      <c r="Q346"/>
    </row>
    <row r="347" spans="2:17" x14ac:dyDescent="0.25">
      <c r="B347"/>
      <c r="N347"/>
      <c r="O347"/>
      <c r="P347"/>
      <c r="Q347"/>
    </row>
    <row r="348" spans="2:17" x14ac:dyDescent="0.25">
      <c r="B348"/>
      <c r="N348"/>
      <c r="O348"/>
      <c r="P348"/>
      <c r="Q348"/>
    </row>
    <row r="349" spans="2:17" x14ac:dyDescent="0.25">
      <c r="B349"/>
      <c r="N349"/>
      <c r="O349"/>
      <c r="P349"/>
      <c r="Q349"/>
    </row>
    <row r="350" spans="2:17" x14ac:dyDescent="0.25">
      <c r="B350"/>
      <c r="N350"/>
      <c r="O350"/>
      <c r="P350"/>
      <c r="Q350"/>
    </row>
    <row r="351" spans="2:17" x14ac:dyDescent="0.25">
      <c r="B351"/>
      <c r="N351"/>
      <c r="O351"/>
      <c r="P351"/>
      <c r="Q351"/>
    </row>
    <row r="352" spans="2:17" x14ac:dyDescent="0.25">
      <c r="B352"/>
      <c r="N352"/>
      <c r="O352"/>
      <c r="P352"/>
      <c r="Q352"/>
    </row>
    <row r="353" spans="2:17" x14ac:dyDescent="0.25">
      <c r="B353"/>
      <c r="N353"/>
      <c r="O353"/>
      <c r="P353"/>
      <c r="Q353"/>
    </row>
    <row r="354" spans="2:17" x14ac:dyDescent="0.25">
      <c r="B354"/>
      <c r="N354"/>
      <c r="O354"/>
      <c r="P354"/>
      <c r="Q354"/>
    </row>
    <row r="355" spans="2:17" x14ac:dyDescent="0.25">
      <c r="B355"/>
      <c r="N355"/>
      <c r="O355"/>
      <c r="P355"/>
      <c r="Q355"/>
    </row>
    <row r="356" spans="2:17" x14ac:dyDescent="0.25">
      <c r="B356"/>
      <c r="N356"/>
      <c r="O356"/>
      <c r="P356"/>
      <c r="Q356"/>
    </row>
    <row r="357" spans="2:17" x14ac:dyDescent="0.25">
      <c r="B357"/>
      <c r="N357"/>
      <c r="O357"/>
      <c r="P357"/>
      <c r="Q357"/>
    </row>
    <row r="358" spans="2:17" x14ac:dyDescent="0.25">
      <c r="B358"/>
      <c r="N358"/>
      <c r="O358"/>
      <c r="P358"/>
      <c r="Q358"/>
    </row>
    <row r="359" spans="2:17" x14ac:dyDescent="0.25">
      <c r="B359"/>
      <c r="N359"/>
      <c r="O359"/>
      <c r="P359"/>
      <c r="Q359"/>
    </row>
    <row r="360" spans="2:17" x14ac:dyDescent="0.25">
      <c r="B360"/>
      <c r="N360"/>
      <c r="O360"/>
      <c r="P360"/>
      <c r="Q360"/>
    </row>
    <row r="361" spans="2:17" x14ac:dyDescent="0.25">
      <c r="B361"/>
      <c r="N361"/>
      <c r="O361"/>
      <c r="P361"/>
      <c r="Q361"/>
    </row>
    <row r="362" spans="2:17" x14ac:dyDescent="0.25">
      <c r="B362"/>
      <c r="N362"/>
      <c r="O362"/>
      <c r="P362"/>
      <c r="Q362"/>
    </row>
    <row r="363" spans="2:17" x14ac:dyDescent="0.25">
      <c r="B363"/>
      <c r="N363"/>
      <c r="O363"/>
      <c r="P363"/>
      <c r="Q363"/>
    </row>
    <row r="364" spans="2:17" x14ac:dyDescent="0.25">
      <c r="B364"/>
      <c r="N364"/>
      <c r="O364"/>
      <c r="P364"/>
      <c r="Q364"/>
    </row>
    <row r="365" spans="2:17" x14ac:dyDescent="0.25">
      <c r="B365"/>
      <c r="N365"/>
      <c r="O365"/>
      <c r="P365"/>
      <c r="Q365"/>
    </row>
    <row r="366" spans="2:17" x14ac:dyDescent="0.25">
      <c r="B366"/>
      <c r="N366"/>
      <c r="O366"/>
      <c r="P366"/>
      <c r="Q366"/>
    </row>
    <row r="367" spans="2:17" x14ac:dyDescent="0.25">
      <c r="B367"/>
      <c r="N367"/>
      <c r="O367"/>
      <c r="P367"/>
      <c r="Q367"/>
    </row>
    <row r="368" spans="2:17" x14ac:dyDescent="0.25">
      <c r="B368"/>
      <c r="N368"/>
      <c r="O368"/>
      <c r="P368"/>
      <c r="Q368"/>
    </row>
    <row r="369" spans="2:17" x14ac:dyDescent="0.25">
      <c r="B369"/>
      <c r="N369"/>
      <c r="O369"/>
      <c r="P369"/>
      <c r="Q369"/>
    </row>
    <row r="370" spans="2:17" x14ac:dyDescent="0.25">
      <c r="B370"/>
      <c r="N370"/>
      <c r="O370"/>
      <c r="P370"/>
      <c r="Q370"/>
    </row>
    <row r="371" spans="2:17" x14ac:dyDescent="0.25">
      <c r="B371"/>
      <c r="N371"/>
      <c r="O371"/>
      <c r="P371"/>
      <c r="Q371"/>
    </row>
    <row r="372" spans="2:17" x14ac:dyDescent="0.25">
      <c r="B372"/>
      <c r="N372"/>
      <c r="O372"/>
      <c r="P372"/>
      <c r="Q372"/>
    </row>
    <row r="373" spans="2:17" x14ac:dyDescent="0.25">
      <c r="B373"/>
      <c r="N373"/>
      <c r="O373"/>
      <c r="P373"/>
      <c r="Q373"/>
    </row>
    <row r="374" spans="2:17" x14ac:dyDescent="0.25">
      <c r="B374"/>
      <c r="N374"/>
      <c r="O374"/>
      <c r="P374"/>
      <c r="Q374"/>
    </row>
    <row r="375" spans="2:17" x14ac:dyDescent="0.25">
      <c r="B375"/>
      <c r="N375"/>
      <c r="O375"/>
      <c r="P375"/>
      <c r="Q375"/>
    </row>
    <row r="376" spans="2:17" x14ac:dyDescent="0.25">
      <c r="B376"/>
      <c r="N376"/>
      <c r="O376"/>
      <c r="P376"/>
      <c r="Q376"/>
    </row>
    <row r="377" spans="2:17" x14ac:dyDescent="0.25">
      <c r="B377"/>
      <c r="N377"/>
      <c r="O377"/>
      <c r="P377"/>
      <c r="Q377"/>
    </row>
    <row r="378" spans="2:17" x14ac:dyDescent="0.25">
      <c r="B378"/>
      <c r="N378"/>
      <c r="O378"/>
      <c r="P378"/>
      <c r="Q378"/>
    </row>
    <row r="379" spans="2:17" x14ac:dyDescent="0.25">
      <c r="B379"/>
      <c r="N379"/>
      <c r="O379"/>
      <c r="P379"/>
      <c r="Q379"/>
    </row>
    <row r="380" spans="2:17" x14ac:dyDescent="0.25">
      <c r="B380"/>
      <c r="N380"/>
      <c r="O380"/>
      <c r="P380"/>
      <c r="Q380"/>
    </row>
    <row r="381" spans="2:17" x14ac:dyDescent="0.25">
      <c r="B381"/>
      <c r="N381"/>
      <c r="O381"/>
      <c r="P381"/>
      <c r="Q381"/>
    </row>
    <row r="382" spans="2:17" x14ac:dyDescent="0.25">
      <c r="B382"/>
      <c r="N382"/>
      <c r="O382"/>
      <c r="P382"/>
      <c r="Q382"/>
    </row>
    <row r="383" spans="2:17" x14ac:dyDescent="0.25">
      <c r="B383"/>
      <c r="N383"/>
      <c r="O383"/>
      <c r="P383"/>
      <c r="Q383"/>
    </row>
    <row r="384" spans="2:17" x14ac:dyDescent="0.25">
      <c r="B384"/>
      <c r="N384"/>
      <c r="O384"/>
      <c r="P384"/>
      <c r="Q384"/>
    </row>
    <row r="385" spans="2:17" x14ac:dyDescent="0.25">
      <c r="B385"/>
      <c r="N385"/>
      <c r="O385"/>
      <c r="P385"/>
      <c r="Q385"/>
    </row>
    <row r="386" spans="2:17" x14ac:dyDescent="0.25">
      <c r="B386"/>
      <c r="N386"/>
      <c r="O386"/>
      <c r="P386"/>
      <c r="Q386"/>
    </row>
    <row r="387" spans="2:17" x14ac:dyDescent="0.25">
      <c r="B387"/>
      <c r="N387"/>
      <c r="O387"/>
      <c r="P387"/>
      <c r="Q387"/>
    </row>
    <row r="388" spans="2:17" x14ac:dyDescent="0.25">
      <c r="B388"/>
      <c r="N388"/>
      <c r="O388"/>
      <c r="P388"/>
      <c r="Q388"/>
    </row>
    <row r="389" spans="2:17" x14ac:dyDescent="0.25">
      <c r="B389"/>
      <c r="N389"/>
      <c r="O389"/>
      <c r="P389"/>
      <c r="Q389"/>
    </row>
    <row r="390" spans="2:17" x14ac:dyDescent="0.25">
      <c r="B390"/>
      <c r="N390"/>
      <c r="O390"/>
      <c r="P390"/>
      <c r="Q390"/>
    </row>
    <row r="391" spans="2:17" x14ac:dyDescent="0.25">
      <c r="B391"/>
      <c r="N391"/>
      <c r="O391"/>
      <c r="P391"/>
      <c r="Q391"/>
    </row>
    <row r="392" spans="2:17" x14ac:dyDescent="0.25">
      <c r="B392"/>
      <c r="N392"/>
      <c r="O392"/>
      <c r="P392"/>
      <c r="Q392"/>
    </row>
    <row r="393" spans="2:17" x14ac:dyDescent="0.25">
      <c r="B393"/>
      <c r="N393"/>
      <c r="O393"/>
      <c r="P393"/>
      <c r="Q393"/>
    </row>
    <row r="394" spans="2:17" x14ac:dyDescent="0.25">
      <c r="B394"/>
      <c r="N394"/>
      <c r="O394"/>
      <c r="P394"/>
      <c r="Q394"/>
    </row>
    <row r="395" spans="2:17" x14ac:dyDescent="0.25">
      <c r="B395"/>
      <c r="N395"/>
      <c r="O395"/>
      <c r="P395"/>
      <c r="Q395"/>
    </row>
    <row r="396" spans="2:17" x14ac:dyDescent="0.25">
      <c r="B396"/>
      <c r="N396"/>
      <c r="O396"/>
      <c r="P396"/>
      <c r="Q396"/>
    </row>
    <row r="397" spans="2:17" x14ac:dyDescent="0.25">
      <c r="B397"/>
      <c r="N397"/>
      <c r="O397"/>
      <c r="P397"/>
      <c r="Q397"/>
    </row>
    <row r="398" spans="2:17" x14ac:dyDescent="0.25">
      <c r="B398"/>
      <c r="N398"/>
      <c r="O398"/>
      <c r="P398"/>
      <c r="Q398"/>
    </row>
    <row r="399" spans="2:17" x14ac:dyDescent="0.25">
      <c r="B399"/>
      <c r="N399"/>
      <c r="O399"/>
      <c r="P399"/>
      <c r="Q399"/>
    </row>
    <row r="400" spans="2:17" x14ac:dyDescent="0.25">
      <c r="B400"/>
      <c r="N400"/>
      <c r="O400"/>
      <c r="P400"/>
      <c r="Q400"/>
    </row>
    <row r="401" spans="2:17" x14ac:dyDescent="0.25">
      <c r="B401"/>
      <c r="N401"/>
      <c r="O401"/>
      <c r="P401"/>
      <c r="Q401"/>
    </row>
    <row r="402" spans="2:17" x14ac:dyDescent="0.25">
      <c r="B402"/>
      <c r="N402"/>
      <c r="O402"/>
      <c r="P402"/>
      <c r="Q402"/>
    </row>
    <row r="403" spans="2:17" x14ac:dyDescent="0.25">
      <c r="B403"/>
      <c r="N403"/>
      <c r="O403"/>
      <c r="P403"/>
      <c r="Q403"/>
    </row>
    <row r="404" spans="2:17" x14ac:dyDescent="0.25">
      <c r="B404"/>
      <c r="N404"/>
      <c r="O404"/>
      <c r="P404"/>
      <c r="Q404"/>
    </row>
    <row r="405" spans="2:17" x14ac:dyDescent="0.25">
      <c r="B405"/>
      <c r="N405"/>
      <c r="O405"/>
      <c r="P405"/>
      <c r="Q405"/>
    </row>
    <row r="406" spans="2:17" x14ac:dyDescent="0.25">
      <c r="B406"/>
      <c r="N406"/>
      <c r="O406"/>
      <c r="P406"/>
      <c r="Q406"/>
    </row>
    <row r="407" spans="2:17" x14ac:dyDescent="0.25">
      <c r="B407"/>
      <c r="N407"/>
      <c r="O407"/>
      <c r="P407"/>
      <c r="Q407"/>
    </row>
    <row r="408" spans="2:17" x14ac:dyDescent="0.25">
      <c r="B408"/>
      <c r="N408"/>
      <c r="O408"/>
      <c r="P408"/>
      <c r="Q408"/>
    </row>
    <row r="409" spans="2:17" x14ac:dyDescent="0.25">
      <c r="B409"/>
      <c r="N409"/>
      <c r="O409"/>
      <c r="P409"/>
      <c r="Q409"/>
    </row>
    <row r="410" spans="2:17" x14ac:dyDescent="0.25">
      <c r="B410"/>
      <c r="N410"/>
      <c r="O410"/>
      <c r="P410"/>
      <c r="Q410"/>
    </row>
    <row r="411" spans="2:17" x14ac:dyDescent="0.25">
      <c r="B411"/>
      <c r="N411"/>
      <c r="O411"/>
      <c r="P411"/>
      <c r="Q411"/>
    </row>
    <row r="412" spans="2:17" x14ac:dyDescent="0.25">
      <c r="B412"/>
      <c r="N412"/>
      <c r="O412"/>
      <c r="P412"/>
      <c r="Q412"/>
    </row>
    <row r="413" spans="2:17" x14ac:dyDescent="0.25">
      <c r="B413"/>
      <c r="N413"/>
      <c r="O413"/>
      <c r="P413"/>
      <c r="Q413"/>
    </row>
    <row r="414" spans="2:17" x14ac:dyDescent="0.25">
      <c r="B414"/>
      <c r="N414"/>
      <c r="O414"/>
      <c r="P414"/>
      <c r="Q414"/>
    </row>
    <row r="415" spans="2:17" x14ac:dyDescent="0.25">
      <c r="B415"/>
      <c r="N415"/>
      <c r="O415"/>
      <c r="P415"/>
      <c r="Q415"/>
    </row>
    <row r="416" spans="2:17" x14ac:dyDescent="0.25">
      <c r="B416"/>
      <c r="N416"/>
      <c r="O416"/>
      <c r="P416"/>
      <c r="Q416"/>
    </row>
    <row r="417" spans="2:17" x14ac:dyDescent="0.25">
      <c r="B417"/>
      <c r="N417"/>
      <c r="O417"/>
      <c r="P417"/>
      <c r="Q417"/>
    </row>
    <row r="418" spans="2:17" x14ac:dyDescent="0.25">
      <c r="B418"/>
      <c r="N418"/>
      <c r="O418"/>
      <c r="P418"/>
      <c r="Q418"/>
    </row>
    <row r="419" spans="2:17" x14ac:dyDescent="0.25">
      <c r="B419"/>
      <c r="N419"/>
      <c r="O419"/>
      <c r="P419"/>
      <c r="Q419"/>
    </row>
    <row r="420" spans="2:17" x14ac:dyDescent="0.25">
      <c r="B420"/>
      <c r="N420"/>
      <c r="O420"/>
      <c r="P420"/>
      <c r="Q420"/>
    </row>
    <row r="421" spans="2:17" x14ac:dyDescent="0.25">
      <c r="B421"/>
      <c r="N421"/>
      <c r="O421"/>
      <c r="P421"/>
      <c r="Q421"/>
    </row>
    <row r="422" spans="2:17" x14ac:dyDescent="0.25">
      <c r="B422"/>
      <c r="N422"/>
      <c r="O422"/>
      <c r="P422"/>
      <c r="Q422"/>
    </row>
    <row r="423" spans="2:17" x14ac:dyDescent="0.25">
      <c r="B423"/>
      <c r="N423"/>
      <c r="O423"/>
      <c r="P423"/>
      <c r="Q423"/>
    </row>
    <row r="424" spans="2:17" x14ac:dyDescent="0.25">
      <c r="B424"/>
      <c r="N424"/>
      <c r="O424"/>
      <c r="P424"/>
      <c r="Q424"/>
    </row>
    <row r="425" spans="2:17" x14ac:dyDescent="0.25">
      <c r="B425"/>
      <c r="N425"/>
      <c r="O425"/>
      <c r="P425"/>
      <c r="Q425"/>
    </row>
    <row r="426" spans="2:17" x14ac:dyDescent="0.25">
      <c r="B426"/>
      <c r="N426"/>
      <c r="O426"/>
      <c r="P426"/>
      <c r="Q426"/>
    </row>
    <row r="427" spans="2:17" x14ac:dyDescent="0.25">
      <c r="B427"/>
      <c r="N427"/>
      <c r="O427"/>
      <c r="P427"/>
      <c r="Q427"/>
    </row>
    <row r="428" spans="2:17" x14ac:dyDescent="0.25">
      <c r="B428"/>
      <c r="N428"/>
      <c r="O428"/>
      <c r="P428"/>
      <c r="Q428"/>
    </row>
    <row r="429" spans="2:17" x14ac:dyDescent="0.25">
      <c r="B429"/>
      <c r="N429"/>
      <c r="O429"/>
      <c r="P429"/>
      <c r="Q429"/>
    </row>
    <row r="430" spans="2:17" x14ac:dyDescent="0.25">
      <c r="B430"/>
      <c r="N430"/>
      <c r="O430"/>
      <c r="P430"/>
      <c r="Q430"/>
    </row>
    <row r="431" spans="2:17" x14ac:dyDescent="0.25">
      <c r="B431"/>
      <c r="N431"/>
      <c r="O431"/>
      <c r="P431"/>
      <c r="Q431"/>
    </row>
    <row r="432" spans="2:17" x14ac:dyDescent="0.25">
      <c r="B432"/>
      <c r="N432"/>
      <c r="O432"/>
      <c r="P432"/>
      <c r="Q432"/>
    </row>
    <row r="433" spans="2:17" x14ac:dyDescent="0.25">
      <c r="B433"/>
      <c r="N433"/>
      <c r="O433"/>
      <c r="P433"/>
      <c r="Q433"/>
    </row>
    <row r="434" spans="2:17" x14ac:dyDescent="0.25">
      <c r="B434"/>
      <c r="N434"/>
      <c r="O434"/>
      <c r="P434"/>
      <c r="Q434"/>
    </row>
    <row r="435" spans="2:17" x14ac:dyDescent="0.25">
      <c r="B435"/>
      <c r="N435"/>
      <c r="O435"/>
      <c r="P435"/>
      <c r="Q435"/>
    </row>
    <row r="436" spans="2:17" x14ac:dyDescent="0.25">
      <c r="B436"/>
      <c r="N436"/>
      <c r="O436"/>
      <c r="P436"/>
      <c r="Q436"/>
    </row>
    <row r="437" spans="2:17" x14ac:dyDescent="0.25">
      <c r="B437"/>
      <c r="N437"/>
      <c r="O437"/>
      <c r="P437"/>
      <c r="Q437"/>
    </row>
    <row r="438" spans="2:17" x14ac:dyDescent="0.25">
      <c r="B438"/>
      <c r="N438"/>
      <c r="O438"/>
      <c r="P438"/>
      <c r="Q438"/>
    </row>
    <row r="439" spans="2:17" x14ac:dyDescent="0.25">
      <c r="B439"/>
      <c r="N439"/>
      <c r="O439"/>
      <c r="P439"/>
      <c r="Q439"/>
    </row>
    <row r="440" spans="2:17" x14ac:dyDescent="0.25">
      <c r="B440"/>
      <c r="N440"/>
      <c r="O440"/>
      <c r="P440"/>
      <c r="Q440"/>
    </row>
    <row r="441" spans="2:17" x14ac:dyDescent="0.25">
      <c r="B441"/>
      <c r="N441"/>
      <c r="O441"/>
      <c r="P441"/>
      <c r="Q441"/>
    </row>
    <row r="442" spans="2:17" x14ac:dyDescent="0.25">
      <c r="B442"/>
      <c r="N442"/>
      <c r="O442"/>
      <c r="P442"/>
      <c r="Q442"/>
    </row>
    <row r="443" spans="2:17" x14ac:dyDescent="0.25">
      <c r="B443"/>
      <c r="N443"/>
      <c r="O443"/>
      <c r="P443"/>
      <c r="Q443"/>
    </row>
    <row r="444" spans="2:17" x14ac:dyDescent="0.25">
      <c r="B444"/>
      <c r="N444"/>
      <c r="O444"/>
      <c r="P444"/>
      <c r="Q444"/>
    </row>
    <row r="445" spans="2:17" x14ac:dyDescent="0.25">
      <c r="B445"/>
      <c r="N445"/>
      <c r="O445"/>
      <c r="P445"/>
      <c r="Q445"/>
    </row>
    <row r="446" spans="2:17" x14ac:dyDescent="0.25">
      <c r="B446"/>
      <c r="N446"/>
      <c r="O446"/>
      <c r="P446"/>
      <c r="Q446"/>
    </row>
    <row r="447" spans="2:17" x14ac:dyDescent="0.25">
      <c r="B447"/>
      <c r="N447"/>
      <c r="O447"/>
      <c r="P447"/>
      <c r="Q447"/>
    </row>
    <row r="448" spans="2:17" x14ac:dyDescent="0.25">
      <c r="B448"/>
      <c r="N448"/>
      <c r="O448"/>
      <c r="P448"/>
      <c r="Q448"/>
    </row>
    <row r="449" spans="2:17" x14ac:dyDescent="0.25">
      <c r="B449"/>
      <c r="N449"/>
      <c r="O449"/>
      <c r="P449"/>
      <c r="Q449"/>
    </row>
    <row r="450" spans="2:17" x14ac:dyDescent="0.25">
      <c r="B450"/>
      <c r="N450"/>
      <c r="O450"/>
      <c r="P450"/>
      <c r="Q450"/>
    </row>
    <row r="451" spans="2:17" x14ac:dyDescent="0.25">
      <c r="B451"/>
      <c r="N451"/>
      <c r="O451"/>
      <c r="P451"/>
      <c r="Q451"/>
    </row>
    <row r="452" spans="2:17" x14ac:dyDescent="0.25">
      <c r="B452"/>
      <c r="N452"/>
      <c r="O452"/>
      <c r="P452"/>
      <c r="Q452"/>
    </row>
    <row r="453" spans="2:17" x14ac:dyDescent="0.25">
      <c r="B453"/>
      <c r="N453"/>
      <c r="O453"/>
      <c r="P453"/>
      <c r="Q453"/>
    </row>
    <row r="454" spans="2:17" x14ac:dyDescent="0.25">
      <c r="B454"/>
      <c r="N454"/>
      <c r="O454"/>
      <c r="P454"/>
      <c r="Q454"/>
    </row>
    <row r="455" spans="2:17" x14ac:dyDescent="0.25">
      <c r="B455"/>
      <c r="N455"/>
      <c r="O455"/>
      <c r="P455"/>
      <c r="Q455"/>
    </row>
    <row r="456" spans="2:17" x14ac:dyDescent="0.25">
      <c r="B456"/>
      <c r="N456"/>
      <c r="O456"/>
      <c r="P456"/>
      <c r="Q456"/>
    </row>
    <row r="457" spans="2:17" x14ac:dyDescent="0.25">
      <c r="B457"/>
      <c r="N457"/>
      <c r="O457"/>
      <c r="P457"/>
      <c r="Q457"/>
    </row>
    <row r="458" spans="2:17" x14ac:dyDescent="0.25">
      <c r="B458"/>
      <c r="N458"/>
      <c r="O458"/>
      <c r="P458"/>
      <c r="Q458"/>
    </row>
    <row r="459" spans="2:17" x14ac:dyDescent="0.25">
      <c r="B459"/>
      <c r="N459"/>
      <c r="O459"/>
      <c r="P459"/>
      <c r="Q459"/>
    </row>
    <row r="460" spans="2:17" x14ac:dyDescent="0.25">
      <c r="B460"/>
      <c r="N460"/>
      <c r="O460"/>
      <c r="P460"/>
      <c r="Q460"/>
    </row>
    <row r="461" spans="2:17" x14ac:dyDescent="0.25">
      <c r="B461"/>
      <c r="N461"/>
      <c r="O461"/>
      <c r="P461"/>
      <c r="Q461"/>
    </row>
    <row r="462" spans="2:17" x14ac:dyDescent="0.25">
      <c r="B462"/>
      <c r="N462"/>
      <c r="O462"/>
      <c r="P462"/>
      <c r="Q462"/>
    </row>
    <row r="463" spans="2:17" x14ac:dyDescent="0.25">
      <c r="B463"/>
      <c r="N463"/>
      <c r="O463"/>
      <c r="P463"/>
      <c r="Q463"/>
    </row>
    <row r="464" spans="2:17" x14ac:dyDescent="0.25">
      <c r="B464"/>
      <c r="N464"/>
      <c r="O464"/>
      <c r="P464"/>
      <c r="Q464"/>
    </row>
    <row r="465" spans="2:17" x14ac:dyDescent="0.25">
      <c r="B465"/>
      <c r="N465"/>
      <c r="O465"/>
      <c r="P465"/>
      <c r="Q465"/>
    </row>
    <row r="466" spans="2:17" x14ac:dyDescent="0.25">
      <c r="B466"/>
      <c r="N466"/>
      <c r="O466"/>
      <c r="P466"/>
      <c r="Q466"/>
    </row>
    <row r="467" spans="2:17" x14ac:dyDescent="0.25">
      <c r="B467"/>
      <c r="N467"/>
      <c r="O467"/>
      <c r="P467"/>
      <c r="Q467"/>
    </row>
    <row r="468" spans="2:17" x14ac:dyDescent="0.25">
      <c r="B468"/>
      <c r="N468"/>
      <c r="O468"/>
      <c r="P468"/>
      <c r="Q468"/>
    </row>
    <row r="469" spans="2:17" x14ac:dyDescent="0.25">
      <c r="B469"/>
      <c r="N469"/>
      <c r="O469"/>
      <c r="P469"/>
      <c r="Q469"/>
    </row>
    <row r="470" spans="2:17" x14ac:dyDescent="0.25">
      <c r="B470"/>
      <c r="N470"/>
      <c r="O470"/>
      <c r="P470"/>
      <c r="Q470"/>
    </row>
    <row r="471" spans="2:17" x14ac:dyDescent="0.25">
      <c r="B471"/>
      <c r="N471"/>
      <c r="O471"/>
      <c r="P471"/>
      <c r="Q471"/>
    </row>
    <row r="472" spans="2:17" x14ac:dyDescent="0.25">
      <c r="B472"/>
      <c r="N472"/>
      <c r="O472"/>
      <c r="P472"/>
      <c r="Q472"/>
    </row>
    <row r="473" spans="2:17" x14ac:dyDescent="0.25">
      <c r="B473"/>
      <c r="N473"/>
      <c r="O473"/>
      <c r="P473"/>
      <c r="Q473"/>
    </row>
    <row r="474" spans="2:17" x14ac:dyDescent="0.25">
      <c r="B474"/>
      <c r="N474"/>
      <c r="O474"/>
      <c r="P474"/>
      <c r="Q474"/>
    </row>
    <row r="475" spans="2:17" x14ac:dyDescent="0.25">
      <c r="B475"/>
      <c r="N475"/>
      <c r="O475"/>
      <c r="P475"/>
      <c r="Q475"/>
    </row>
    <row r="476" spans="2:17" x14ac:dyDescent="0.25">
      <c r="B476"/>
      <c r="N476"/>
      <c r="O476"/>
      <c r="P476"/>
      <c r="Q476"/>
    </row>
    <row r="477" spans="2:17" x14ac:dyDescent="0.25">
      <c r="B477"/>
      <c r="N477"/>
      <c r="O477"/>
      <c r="P477"/>
      <c r="Q477"/>
    </row>
    <row r="478" spans="2:17" x14ac:dyDescent="0.25">
      <c r="B478"/>
      <c r="N478"/>
      <c r="O478"/>
      <c r="P478"/>
      <c r="Q478"/>
    </row>
    <row r="479" spans="2:17" x14ac:dyDescent="0.25">
      <c r="B479"/>
      <c r="N479"/>
      <c r="O479"/>
      <c r="P479"/>
      <c r="Q479"/>
    </row>
    <row r="480" spans="2:17" x14ac:dyDescent="0.25">
      <c r="B480"/>
      <c r="N480"/>
      <c r="O480"/>
      <c r="P480"/>
      <c r="Q480"/>
    </row>
    <row r="481" spans="2:17" x14ac:dyDescent="0.25">
      <c r="B481"/>
      <c r="N481"/>
      <c r="O481"/>
      <c r="P481"/>
      <c r="Q481"/>
    </row>
    <row r="482" spans="2:17" x14ac:dyDescent="0.25">
      <c r="B482"/>
      <c r="N482"/>
      <c r="O482"/>
      <c r="P482"/>
      <c r="Q482"/>
    </row>
    <row r="483" spans="2:17" x14ac:dyDescent="0.25">
      <c r="B483"/>
      <c r="N483"/>
      <c r="O483"/>
      <c r="P483"/>
      <c r="Q483"/>
    </row>
    <row r="484" spans="2:17" x14ac:dyDescent="0.25">
      <c r="B484"/>
      <c r="N484"/>
      <c r="O484"/>
      <c r="P484"/>
      <c r="Q484"/>
    </row>
    <row r="485" spans="2:17" x14ac:dyDescent="0.25">
      <c r="B485"/>
      <c r="N485"/>
      <c r="O485"/>
      <c r="P485"/>
      <c r="Q485"/>
    </row>
    <row r="486" spans="2:17" x14ac:dyDescent="0.25">
      <c r="B486"/>
      <c r="N486"/>
      <c r="O486"/>
      <c r="P486"/>
      <c r="Q486"/>
    </row>
    <row r="487" spans="2:17" x14ac:dyDescent="0.25">
      <c r="B487"/>
      <c r="N487"/>
      <c r="O487"/>
      <c r="P487"/>
      <c r="Q487"/>
    </row>
    <row r="488" spans="2:17" x14ac:dyDescent="0.25">
      <c r="B488"/>
      <c r="N488"/>
      <c r="O488"/>
      <c r="P488"/>
      <c r="Q488"/>
    </row>
    <row r="489" spans="2:17" x14ac:dyDescent="0.25">
      <c r="B489"/>
      <c r="N489"/>
      <c r="O489"/>
      <c r="P489"/>
      <c r="Q489"/>
    </row>
    <row r="490" spans="2:17" x14ac:dyDescent="0.25">
      <c r="B490"/>
      <c r="N490"/>
      <c r="O490"/>
      <c r="P490"/>
      <c r="Q490"/>
    </row>
    <row r="491" spans="2:17" x14ac:dyDescent="0.25">
      <c r="B491"/>
      <c r="N491"/>
      <c r="O491"/>
      <c r="P491"/>
      <c r="Q491"/>
    </row>
    <row r="492" spans="2:17" x14ac:dyDescent="0.25">
      <c r="B492"/>
      <c r="N492"/>
      <c r="O492"/>
      <c r="P492"/>
      <c r="Q492"/>
    </row>
    <row r="493" spans="2:17" x14ac:dyDescent="0.25">
      <c r="B493"/>
      <c r="N493"/>
      <c r="O493"/>
      <c r="P493"/>
      <c r="Q493"/>
    </row>
    <row r="494" spans="2:17" x14ac:dyDescent="0.25">
      <c r="B494"/>
      <c r="N494"/>
      <c r="O494"/>
      <c r="P494"/>
      <c r="Q494"/>
    </row>
    <row r="495" spans="2:17" x14ac:dyDescent="0.25">
      <c r="B495"/>
      <c r="N495"/>
      <c r="O495"/>
      <c r="P495"/>
      <c r="Q495"/>
    </row>
    <row r="496" spans="2:17" x14ac:dyDescent="0.25">
      <c r="B496"/>
      <c r="N496"/>
      <c r="O496"/>
      <c r="P496"/>
      <c r="Q496"/>
    </row>
    <row r="497" spans="2:17" x14ac:dyDescent="0.25">
      <c r="B497"/>
      <c r="N497"/>
      <c r="O497"/>
      <c r="P497"/>
      <c r="Q497"/>
    </row>
    <row r="498" spans="2:17" x14ac:dyDescent="0.25">
      <c r="B498"/>
      <c r="N498"/>
      <c r="O498"/>
      <c r="P498"/>
      <c r="Q498"/>
    </row>
    <row r="499" spans="2:17" x14ac:dyDescent="0.25">
      <c r="B499"/>
      <c r="N499"/>
      <c r="O499"/>
      <c r="P499"/>
      <c r="Q499"/>
    </row>
    <row r="500" spans="2:17" x14ac:dyDescent="0.25">
      <c r="B500"/>
      <c r="N500"/>
      <c r="O500"/>
      <c r="P500"/>
      <c r="Q500"/>
    </row>
    <row r="501" spans="2:17" x14ac:dyDescent="0.25">
      <c r="B501"/>
      <c r="N501"/>
      <c r="O501"/>
      <c r="P501"/>
      <c r="Q501"/>
    </row>
    <row r="502" spans="2:17" x14ac:dyDescent="0.25">
      <c r="B502"/>
      <c r="N502"/>
      <c r="O502"/>
      <c r="P502"/>
      <c r="Q502"/>
    </row>
    <row r="503" spans="2:17" x14ac:dyDescent="0.25">
      <c r="B503"/>
      <c r="N503"/>
      <c r="O503"/>
      <c r="P503"/>
      <c r="Q503"/>
    </row>
    <row r="504" spans="2:17" x14ac:dyDescent="0.25">
      <c r="B504"/>
      <c r="N504"/>
      <c r="O504"/>
      <c r="P504"/>
      <c r="Q504"/>
    </row>
    <row r="505" spans="2:17" x14ac:dyDescent="0.25">
      <c r="B505"/>
      <c r="N505"/>
      <c r="O505"/>
      <c r="P505"/>
      <c r="Q505"/>
    </row>
    <row r="506" spans="2:17" x14ac:dyDescent="0.25">
      <c r="B506"/>
      <c r="N506"/>
      <c r="O506"/>
      <c r="P506"/>
      <c r="Q506"/>
    </row>
    <row r="507" spans="2:17" x14ac:dyDescent="0.25">
      <c r="B507"/>
      <c r="N507"/>
      <c r="O507"/>
      <c r="P507"/>
      <c r="Q507"/>
    </row>
    <row r="508" spans="2:17" x14ac:dyDescent="0.25">
      <c r="B508"/>
      <c r="N508"/>
      <c r="O508"/>
      <c r="P508"/>
      <c r="Q508"/>
    </row>
    <row r="509" spans="2:17" x14ac:dyDescent="0.25">
      <c r="B509"/>
      <c r="N509"/>
      <c r="O509"/>
      <c r="P509"/>
      <c r="Q509"/>
    </row>
    <row r="510" spans="2:17" x14ac:dyDescent="0.25">
      <c r="B510"/>
      <c r="N510"/>
      <c r="O510"/>
      <c r="P510"/>
      <c r="Q510"/>
    </row>
    <row r="511" spans="2:17" x14ac:dyDescent="0.25">
      <c r="B511"/>
      <c r="N511"/>
      <c r="O511"/>
      <c r="P511"/>
      <c r="Q511"/>
    </row>
    <row r="512" spans="2:17" x14ac:dyDescent="0.25">
      <c r="B512"/>
      <c r="N512"/>
      <c r="O512"/>
      <c r="P512"/>
      <c r="Q512"/>
    </row>
    <row r="513" spans="2:17" x14ac:dyDescent="0.25">
      <c r="B513"/>
      <c r="N513"/>
      <c r="O513"/>
      <c r="P513"/>
      <c r="Q513"/>
    </row>
    <row r="514" spans="2:17" x14ac:dyDescent="0.25">
      <c r="B514"/>
      <c r="N514"/>
      <c r="O514"/>
      <c r="P514"/>
      <c r="Q514"/>
    </row>
    <row r="515" spans="2:17" x14ac:dyDescent="0.25">
      <c r="B515"/>
      <c r="N515"/>
      <c r="O515"/>
      <c r="P515"/>
      <c r="Q515"/>
    </row>
    <row r="516" spans="2:17" x14ac:dyDescent="0.25">
      <c r="B516"/>
      <c r="N516"/>
      <c r="O516"/>
      <c r="P516"/>
      <c r="Q516"/>
    </row>
    <row r="517" spans="2:17" x14ac:dyDescent="0.25">
      <c r="B517"/>
      <c r="N517"/>
      <c r="O517"/>
      <c r="P517"/>
      <c r="Q517"/>
    </row>
    <row r="518" spans="2:17" x14ac:dyDescent="0.25">
      <c r="B518"/>
      <c r="N518"/>
      <c r="O518"/>
      <c r="P518"/>
      <c r="Q518"/>
    </row>
    <row r="519" spans="2:17" x14ac:dyDescent="0.25">
      <c r="B519"/>
      <c r="N519"/>
      <c r="O519"/>
      <c r="P519"/>
      <c r="Q519"/>
    </row>
    <row r="520" spans="2:17" x14ac:dyDescent="0.25">
      <c r="B520"/>
      <c r="N520"/>
      <c r="O520"/>
      <c r="P520"/>
      <c r="Q520"/>
    </row>
    <row r="521" spans="2:17" x14ac:dyDescent="0.25">
      <c r="B521"/>
      <c r="N521"/>
      <c r="O521"/>
      <c r="P521"/>
      <c r="Q521"/>
    </row>
    <row r="522" spans="2:17" x14ac:dyDescent="0.25">
      <c r="B522"/>
      <c r="N522"/>
      <c r="O522"/>
      <c r="P522"/>
      <c r="Q522"/>
    </row>
    <row r="523" spans="2:17" x14ac:dyDescent="0.25">
      <c r="B523"/>
      <c r="N523"/>
      <c r="O523"/>
      <c r="P523"/>
      <c r="Q523"/>
    </row>
    <row r="524" spans="2:17" x14ac:dyDescent="0.25">
      <c r="B524"/>
      <c r="N524"/>
      <c r="O524"/>
      <c r="P524"/>
      <c r="Q524"/>
    </row>
    <row r="525" spans="2:17" x14ac:dyDescent="0.25">
      <c r="B525"/>
      <c r="N525"/>
      <c r="O525"/>
      <c r="P525"/>
      <c r="Q525"/>
    </row>
    <row r="526" spans="2:17" x14ac:dyDescent="0.25">
      <c r="B526"/>
      <c r="N526"/>
      <c r="O526"/>
      <c r="P526"/>
      <c r="Q526"/>
    </row>
    <row r="527" spans="2:17" x14ac:dyDescent="0.25">
      <c r="B527"/>
      <c r="N527"/>
      <c r="O527"/>
      <c r="P527"/>
      <c r="Q527"/>
    </row>
    <row r="528" spans="2:17" x14ac:dyDescent="0.25">
      <c r="B528"/>
      <c r="N528"/>
      <c r="O528"/>
      <c r="P528"/>
      <c r="Q528"/>
    </row>
    <row r="529" spans="2:17" x14ac:dyDescent="0.25">
      <c r="B529"/>
      <c r="N529"/>
      <c r="O529"/>
      <c r="P529"/>
      <c r="Q529"/>
    </row>
    <row r="530" spans="2:17" x14ac:dyDescent="0.25">
      <c r="B530"/>
      <c r="N530"/>
      <c r="O530"/>
      <c r="P530"/>
      <c r="Q530"/>
    </row>
    <row r="531" spans="2:17" x14ac:dyDescent="0.25">
      <c r="B531"/>
      <c r="N531"/>
      <c r="O531"/>
      <c r="P531"/>
      <c r="Q531"/>
    </row>
    <row r="532" spans="2:17" x14ac:dyDescent="0.25">
      <c r="B532"/>
      <c r="N532"/>
      <c r="O532"/>
      <c r="P532"/>
      <c r="Q532"/>
    </row>
    <row r="533" spans="2:17" x14ac:dyDescent="0.25">
      <c r="B533"/>
      <c r="N533"/>
      <c r="O533"/>
      <c r="P533"/>
      <c r="Q533"/>
    </row>
    <row r="534" spans="2:17" x14ac:dyDescent="0.25">
      <c r="B534"/>
      <c r="N534"/>
      <c r="O534"/>
      <c r="P534"/>
      <c r="Q534"/>
    </row>
    <row r="535" spans="2:17" x14ac:dyDescent="0.25">
      <c r="B535"/>
      <c r="N535"/>
      <c r="O535"/>
      <c r="P535"/>
      <c r="Q535"/>
    </row>
    <row r="536" spans="2:17" x14ac:dyDescent="0.25">
      <c r="B536"/>
      <c r="N536"/>
      <c r="O536"/>
      <c r="P536"/>
      <c r="Q536"/>
    </row>
    <row r="537" spans="2:17" x14ac:dyDescent="0.25">
      <c r="B537"/>
      <c r="N537"/>
      <c r="O537"/>
      <c r="P537"/>
      <c r="Q537"/>
    </row>
    <row r="538" spans="2:17" x14ac:dyDescent="0.25">
      <c r="B538"/>
      <c r="N538"/>
      <c r="O538"/>
      <c r="P538"/>
      <c r="Q538"/>
    </row>
    <row r="539" spans="2:17" x14ac:dyDescent="0.25">
      <c r="B539"/>
      <c r="N539"/>
      <c r="O539"/>
      <c r="P539"/>
      <c r="Q539"/>
    </row>
    <row r="540" spans="2:17" x14ac:dyDescent="0.25">
      <c r="B540"/>
      <c r="N540"/>
      <c r="O540"/>
      <c r="P540"/>
      <c r="Q540"/>
    </row>
    <row r="541" spans="2:17" x14ac:dyDescent="0.25">
      <c r="B541"/>
      <c r="N541"/>
      <c r="O541"/>
      <c r="P541"/>
      <c r="Q541"/>
    </row>
    <row r="542" spans="2:17" x14ac:dyDescent="0.25">
      <c r="B542"/>
      <c r="N542"/>
      <c r="O542"/>
      <c r="P542"/>
      <c r="Q542"/>
    </row>
    <row r="543" spans="2:17" x14ac:dyDescent="0.25">
      <c r="B543"/>
      <c r="N543"/>
      <c r="O543"/>
      <c r="P543"/>
      <c r="Q543"/>
    </row>
    <row r="544" spans="2:17" x14ac:dyDescent="0.25">
      <c r="B544"/>
      <c r="N544"/>
      <c r="O544"/>
      <c r="P544"/>
      <c r="Q544"/>
    </row>
    <row r="545" spans="2:17" x14ac:dyDescent="0.25">
      <c r="B545"/>
      <c r="N545"/>
      <c r="O545"/>
      <c r="P545"/>
      <c r="Q545"/>
    </row>
    <row r="546" spans="2:17" x14ac:dyDescent="0.25">
      <c r="B546"/>
      <c r="N546"/>
      <c r="O546"/>
      <c r="P546"/>
      <c r="Q546"/>
    </row>
    <row r="547" spans="2:17" x14ac:dyDescent="0.25">
      <c r="B547"/>
      <c r="N547"/>
      <c r="O547"/>
      <c r="P547"/>
      <c r="Q547"/>
    </row>
    <row r="548" spans="2:17" x14ac:dyDescent="0.25">
      <c r="B548"/>
      <c r="N548"/>
      <c r="O548"/>
      <c r="P548"/>
      <c r="Q548"/>
    </row>
    <row r="549" spans="2:17" x14ac:dyDescent="0.25">
      <c r="B549"/>
      <c r="N549"/>
      <c r="O549"/>
      <c r="P549"/>
      <c r="Q549"/>
    </row>
    <row r="550" spans="2:17" x14ac:dyDescent="0.25">
      <c r="B550"/>
      <c r="N550"/>
      <c r="O550"/>
      <c r="P550"/>
      <c r="Q550"/>
    </row>
    <row r="551" spans="2:17" x14ac:dyDescent="0.25">
      <c r="B551"/>
      <c r="N551"/>
      <c r="O551"/>
      <c r="P551"/>
      <c r="Q551"/>
    </row>
    <row r="552" spans="2:17" x14ac:dyDescent="0.25">
      <c r="B552"/>
      <c r="N552"/>
      <c r="O552"/>
      <c r="P552"/>
      <c r="Q552"/>
    </row>
    <row r="553" spans="2:17" x14ac:dyDescent="0.25">
      <c r="B553"/>
      <c r="N553"/>
      <c r="O553"/>
      <c r="P553"/>
      <c r="Q553"/>
    </row>
    <row r="554" spans="2:17" x14ac:dyDescent="0.25">
      <c r="B554"/>
      <c r="N554"/>
      <c r="O554"/>
      <c r="P554"/>
      <c r="Q554"/>
    </row>
    <row r="555" spans="2:17" x14ac:dyDescent="0.25">
      <c r="B555"/>
      <c r="N555"/>
      <c r="O555"/>
      <c r="P555"/>
      <c r="Q555"/>
    </row>
    <row r="556" spans="2:17" x14ac:dyDescent="0.25">
      <c r="B556"/>
      <c r="N556"/>
      <c r="O556"/>
      <c r="P556"/>
      <c r="Q556"/>
    </row>
    <row r="557" spans="2:17" x14ac:dyDescent="0.25">
      <c r="B557"/>
      <c r="N557"/>
      <c r="O557"/>
      <c r="P557"/>
      <c r="Q557"/>
    </row>
    <row r="558" spans="2:17" x14ac:dyDescent="0.25">
      <c r="B558"/>
      <c r="N558"/>
      <c r="O558"/>
      <c r="P558"/>
      <c r="Q558"/>
    </row>
    <row r="559" spans="2:17" x14ac:dyDescent="0.25">
      <c r="B559"/>
      <c r="N559"/>
      <c r="O559"/>
      <c r="P559"/>
      <c r="Q559"/>
    </row>
    <row r="560" spans="2:17" x14ac:dyDescent="0.25">
      <c r="B560"/>
      <c r="N560"/>
      <c r="O560"/>
      <c r="P560"/>
      <c r="Q560"/>
    </row>
    <row r="561" spans="2:17" x14ac:dyDescent="0.25">
      <c r="B561"/>
      <c r="N561"/>
      <c r="O561"/>
      <c r="P561"/>
      <c r="Q561"/>
    </row>
    <row r="562" spans="2:17" x14ac:dyDescent="0.25">
      <c r="B562"/>
      <c r="N562"/>
      <c r="O562"/>
      <c r="P562"/>
      <c r="Q562"/>
    </row>
    <row r="563" spans="2:17" x14ac:dyDescent="0.25">
      <c r="B563"/>
      <c r="N563"/>
      <c r="O563"/>
      <c r="P563"/>
      <c r="Q563"/>
    </row>
    <row r="564" spans="2:17" x14ac:dyDescent="0.25">
      <c r="B564"/>
      <c r="N564"/>
      <c r="O564"/>
      <c r="P564"/>
      <c r="Q564"/>
    </row>
    <row r="565" spans="2:17" x14ac:dyDescent="0.25">
      <c r="B565"/>
      <c r="N565"/>
      <c r="O565"/>
      <c r="P565"/>
      <c r="Q565"/>
    </row>
    <row r="566" spans="2:17" x14ac:dyDescent="0.25">
      <c r="B566"/>
      <c r="N566"/>
      <c r="O566"/>
      <c r="P566"/>
      <c r="Q566"/>
    </row>
    <row r="567" spans="2:17" x14ac:dyDescent="0.25">
      <c r="B567"/>
      <c r="N567"/>
      <c r="O567"/>
      <c r="P567"/>
      <c r="Q567"/>
    </row>
    <row r="568" spans="2:17" x14ac:dyDescent="0.25">
      <c r="B568"/>
      <c r="N568"/>
      <c r="O568"/>
      <c r="P568"/>
      <c r="Q568"/>
    </row>
    <row r="569" spans="2:17" x14ac:dyDescent="0.25">
      <c r="B569"/>
      <c r="N569"/>
      <c r="O569"/>
      <c r="P569"/>
      <c r="Q569"/>
    </row>
    <row r="570" spans="2:17" x14ac:dyDescent="0.25">
      <c r="B570"/>
      <c r="N570"/>
      <c r="O570"/>
      <c r="P570"/>
      <c r="Q570"/>
    </row>
    <row r="571" spans="2:17" x14ac:dyDescent="0.25">
      <c r="B571"/>
      <c r="N571"/>
      <c r="O571"/>
      <c r="P571"/>
      <c r="Q571"/>
    </row>
    <row r="572" spans="2:17" x14ac:dyDescent="0.25">
      <c r="B572"/>
      <c r="N572"/>
      <c r="O572"/>
      <c r="P572"/>
      <c r="Q572"/>
    </row>
    <row r="573" spans="2:17" x14ac:dyDescent="0.25">
      <c r="B573"/>
      <c r="N573"/>
      <c r="O573"/>
      <c r="P573"/>
      <c r="Q573"/>
    </row>
    <row r="574" spans="2:17" x14ac:dyDescent="0.25">
      <c r="B574"/>
      <c r="N574"/>
      <c r="O574"/>
      <c r="P574"/>
      <c r="Q574"/>
    </row>
    <row r="575" spans="2:17" x14ac:dyDescent="0.25">
      <c r="B575"/>
      <c r="N575"/>
      <c r="O575"/>
      <c r="P575"/>
      <c r="Q575"/>
    </row>
    <row r="576" spans="2:17" x14ac:dyDescent="0.25">
      <c r="B576"/>
      <c r="N576"/>
      <c r="O576"/>
      <c r="P576"/>
      <c r="Q576"/>
    </row>
    <row r="577" spans="2:17" x14ac:dyDescent="0.25">
      <c r="B577"/>
      <c r="N577"/>
      <c r="O577"/>
      <c r="P577"/>
      <c r="Q577"/>
    </row>
    <row r="578" spans="2:17" x14ac:dyDescent="0.25">
      <c r="B578"/>
      <c r="N578"/>
      <c r="O578"/>
      <c r="P578"/>
      <c r="Q578"/>
    </row>
  </sheetData>
  <mergeCells count="10">
    <mergeCell ref="A75:AH75"/>
    <mergeCell ref="A76:AH76"/>
    <mergeCell ref="A77:AH77"/>
    <mergeCell ref="A78:AH78"/>
    <mergeCell ref="A1:AH1"/>
    <mergeCell ref="B70:AG70"/>
    <mergeCell ref="A71:AH71"/>
    <mergeCell ref="A72:AH72"/>
    <mergeCell ref="A73:AH73"/>
    <mergeCell ref="A74:AH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workbookViewId="0">
      <selection activeCell="B14" sqref="B14"/>
    </sheetView>
  </sheetViews>
  <sheetFormatPr defaultRowHeight="15" x14ac:dyDescent="0.25"/>
  <cols>
    <col min="1" max="1" width="4.7109375" style="107" bestFit="1" customWidth="1"/>
    <col min="2" max="3" width="10.5703125" style="108" bestFit="1" customWidth="1"/>
    <col min="4" max="4" width="9.5703125" style="108" bestFit="1" customWidth="1"/>
    <col min="5" max="9" width="12" style="108" bestFit="1" customWidth="1"/>
  </cols>
  <sheetData>
    <row r="1" spans="1:9" ht="84" x14ac:dyDescent="0.25">
      <c r="A1" s="95" t="s">
        <v>245</v>
      </c>
      <c r="B1" s="96" t="s">
        <v>246</v>
      </c>
      <c r="C1" s="96" t="s">
        <v>348</v>
      </c>
      <c r="D1" s="96" t="s">
        <v>163</v>
      </c>
      <c r="E1" s="96" t="s">
        <v>349</v>
      </c>
      <c r="F1" s="97" t="s">
        <v>350</v>
      </c>
      <c r="G1" s="98" t="s">
        <v>351</v>
      </c>
      <c r="H1" s="99" t="s">
        <v>352</v>
      </c>
      <c r="I1" s="100" t="s">
        <v>353</v>
      </c>
    </row>
    <row r="2" spans="1:9" ht="21" x14ac:dyDescent="0.6">
      <c r="A2" s="101">
        <v>1</v>
      </c>
      <c r="B2" s="102">
        <v>885165.09590462723</v>
      </c>
      <c r="C2" s="102">
        <v>191202.35006557437</v>
      </c>
      <c r="D2" s="102">
        <v>46667</v>
      </c>
      <c r="E2" s="102">
        <v>1123034.4459702016</v>
      </c>
      <c r="F2" s="103">
        <f>(B2*1.38)+171722</f>
        <v>1393249.8323483856</v>
      </c>
      <c r="G2" s="104">
        <f>(D2+C2)*1.38</f>
        <v>328259.70309049258</v>
      </c>
      <c r="H2" s="105">
        <v>70000</v>
      </c>
      <c r="I2" s="106">
        <f>H2+G2+F2</f>
        <v>1791509.5354388782</v>
      </c>
    </row>
    <row r="3" spans="1:9" ht="21" x14ac:dyDescent="0.6">
      <c r="A3" s="101">
        <v>2</v>
      </c>
      <c r="B3" s="102">
        <v>887511.60320344323</v>
      </c>
      <c r="C3" s="102">
        <v>193569.71141968589</v>
      </c>
      <c r="D3" s="102">
        <v>46867</v>
      </c>
      <c r="E3" s="102">
        <v>1127948.3146231291</v>
      </c>
      <c r="F3" s="103">
        <f t="shared" ref="F3:F21" si="0">(B3*1.38)+171722</f>
        <v>1396488.0124207516</v>
      </c>
      <c r="G3" s="104">
        <f t="shared" ref="G3:G21" si="1">(D3+C3)*1.38</f>
        <v>331802.66175916651</v>
      </c>
      <c r="H3" s="105">
        <v>70200</v>
      </c>
      <c r="I3" s="106">
        <f t="shared" ref="I3:I21" si="2">H3+G3+F3</f>
        <v>1798490.6741799181</v>
      </c>
    </row>
    <row r="4" spans="1:9" ht="21" x14ac:dyDescent="0.6">
      <c r="A4" s="101">
        <v>3</v>
      </c>
      <c r="B4" s="102">
        <v>889858.08592700155</v>
      </c>
      <c r="C4" s="102">
        <v>195937.07277379738</v>
      </c>
      <c r="D4" s="102">
        <v>47067</v>
      </c>
      <c r="E4" s="102">
        <v>1132862.1587007989</v>
      </c>
      <c r="F4" s="103">
        <f t="shared" si="0"/>
        <v>1399726.158579262</v>
      </c>
      <c r="G4" s="104">
        <f t="shared" si="1"/>
        <v>335345.62042784033</v>
      </c>
      <c r="H4" s="105">
        <v>70400</v>
      </c>
      <c r="I4" s="106">
        <f t="shared" si="2"/>
        <v>1805471.7790071024</v>
      </c>
    </row>
    <row r="5" spans="1:9" ht="21" x14ac:dyDescent="0.6">
      <c r="A5" s="101">
        <v>4</v>
      </c>
      <c r="B5" s="102">
        <v>892212.66695159045</v>
      </c>
      <c r="C5" s="102">
        <v>198304.43412790884</v>
      </c>
      <c r="D5" s="102">
        <v>47267</v>
      </c>
      <c r="E5" s="102">
        <v>1137784.1010794993</v>
      </c>
      <c r="F5" s="103">
        <f t="shared" si="0"/>
        <v>1402975.4803931948</v>
      </c>
      <c r="G5" s="104">
        <f t="shared" si="1"/>
        <v>338888.57909651415</v>
      </c>
      <c r="H5" s="105">
        <v>70600</v>
      </c>
      <c r="I5" s="106">
        <f t="shared" si="2"/>
        <v>1812464.0594897089</v>
      </c>
    </row>
    <row r="6" spans="1:9" ht="21" x14ac:dyDescent="0.6">
      <c r="A6" s="101">
        <v>5</v>
      </c>
      <c r="B6" s="102">
        <v>894567.24797617935</v>
      </c>
      <c r="C6" s="102">
        <v>200671.79548202033</v>
      </c>
      <c r="D6" s="102">
        <v>47467</v>
      </c>
      <c r="E6" s="102">
        <v>1142706.0434581996</v>
      </c>
      <c r="F6" s="103">
        <f t="shared" si="0"/>
        <v>1406224.8022071274</v>
      </c>
      <c r="G6" s="104">
        <f t="shared" si="1"/>
        <v>342431.53776518803</v>
      </c>
      <c r="H6" s="105">
        <v>70800</v>
      </c>
      <c r="I6" s="106">
        <f t="shared" si="2"/>
        <v>1819456.3399723154</v>
      </c>
    </row>
    <row r="7" spans="1:9" ht="21" x14ac:dyDescent="0.6">
      <c r="A7" s="101">
        <v>6</v>
      </c>
      <c r="B7" s="102">
        <v>897695.21674917114</v>
      </c>
      <c r="C7" s="102">
        <v>203039.15683613182</v>
      </c>
      <c r="D7" s="102">
        <v>47667</v>
      </c>
      <c r="E7" s="102">
        <v>1148401.3735853028</v>
      </c>
      <c r="F7" s="103">
        <f t="shared" si="0"/>
        <v>1410541.399113856</v>
      </c>
      <c r="G7" s="104">
        <f t="shared" si="1"/>
        <v>345974.4964338619</v>
      </c>
      <c r="H7" s="105">
        <v>71000</v>
      </c>
      <c r="I7" s="106">
        <f t="shared" si="2"/>
        <v>1827515.8955477178</v>
      </c>
    </row>
    <row r="8" spans="1:9" ht="21" x14ac:dyDescent="0.6">
      <c r="A8" s="101">
        <v>7</v>
      </c>
      <c r="B8" s="102">
        <v>900829.25924793596</v>
      </c>
      <c r="C8" s="102">
        <v>205406.51819024331</v>
      </c>
      <c r="D8" s="102">
        <v>47867</v>
      </c>
      <c r="E8" s="102">
        <v>1154102.7774381794</v>
      </c>
      <c r="F8" s="103">
        <f t="shared" si="0"/>
        <v>1414866.3777621514</v>
      </c>
      <c r="G8" s="104">
        <f t="shared" si="1"/>
        <v>349517.45510253572</v>
      </c>
      <c r="H8" s="105">
        <v>71200</v>
      </c>
      <c r="I8" s="106">
        <f t="shared" si="2"/>
        <v>1835583.8328646871</v>
      </c>
    </row>
    <row r="9" spans="1:9" ht="21" x14ac:dyDescent="0.6">
      <c r="A9" s="101">
        <v>8</v>
      </c>
      <c r="B9" s="102">
        <v>904127.29234256642</v>
      </c>
      <c r="C9" s="102">
        <v>207773.8795443548</v>
      </c>
      <c r="D9" s="102">
        <v>48067</v>
      </c>
      <c r="E9" s="102">
        <v>1159968.1718869212</v>
      </c>
      <c r="F9" s="103">
        <f t="shared" si="0"/>
        <v>1419417.6634327415</v>
      </c>
      <c r="G9" s="104">
        <f t="shared" si="1"/>
        <v>353060.4137712096</v>
      </c>
      <c r="H9" s="105">
        <v>71400</v>
      </c>
      <c r="I9" s="106">
        <f t="shared" si="2"/>
        <v>1843878.0772039511</v>
      </c>
    </row>
    <row r="10" spans="1:9" ht="21" x14ac:dyDescent="0.6">
      <c r="A10" s="101">
        <v>9</v>
      </c>
      <c r="B10" s="102">
        <v>907880.85487015685</v>
      </c>
      <c r="C10" s="102">
        <v>210141.24089846629</v>
      </c>
      <c r="D10" s="102">
        <v>48267</v>
      </c>
      <c r="E10" s="102">
        <v>1166289.0957686231</v>
      </c>
      <c r="F10" s="103">
        <f t="shared" si="0"/>
        <v>1424597.5797208163</v>
      </c>
      <c r="G10" s="104">
        <f t="shared" si="1"/>
        <v>356603.37243988347</v>
      </c>
      <c r="H10" s="105">
        <v>71600</v>
      </c>
      <c r="I10" s="106">
        <f t="shared" si="2"/>
        <v>1852800.9521606998</v>
      </c>
    </row>
    <row r="11" spans="1:9" ht="21" x14ac:dyDescent="0.6">
      <c r="A11" s="101">
        <v>10</v>
      </c>
      <c r="B11" s="102">
        <v>911800.43256887048</v>
      </c>
      <c r="C11" s="102">
        <v>212508.60225257781</v>
      </c>
      <c r="D11" s="102">
        <v>48467</v>
      </c>
      <c r="E11" s="102">
        <v>1172776.0348214484</v>
      </c>
      <c r="F11" s="103">
        <f t="shared" si="0"/>
        <v>1430006.5969450411</v>
      </c>
      <c r="G11" s="104">
        <f t="shared" si="1"/>
        <v>360146.33110855735</v>
      </c>
      <c r="H11" s="105">
        <v>71800</v>
      </c>
      <c r="I11" s="106">
        <f t="shared" si="2"/>
        <v>1861952.9280535984</v>
      </c>
    </row>
    <row r="12" spans="1:9" ht="21" x14ac:dyDescent="0.6">
      <c r="A12" s="101">
        <v>11</v>
      </c>
      <c r="B12" s="102">
        <v>916497.44716650213</v>
      </c>
      <c r="C12" s="102">
        <v>214875.9636066893</v>
      </c>
      <c r="D12" s="102">
        <v>48667</v>
      </c>
      <c r="E12" s="102">
        <v>1180040.4107731914</v>
      </c>
      <c r="F12" s="103">
        <f t="shared" si="0"/>
        <v>1436488.4770897729</v>
      </c>
      <c r="G12" s="104">
        <f t="shared" si="1"/>
        <v>363689.28977723123</v>
      </c>
      <c r="H12" s="105">
        <v>72000</v>
      </c>
      <c r="I12" s="106">
        <f t="shared" si="2"/>
        <v>1872177.7668670041</v>
      </c>
    </row>
    <row r="13" spans="1:9" ht="21" x14ac:dyDescent="0.6">
      <c r="A13" s="101">
        <v>12</v>
      </c>
      <c r="B13" s="102">
        <v>921202.56006516481</v>
      </c>
      <c r="C13" s="102">
        <v>219610.68631491222</v>
      </c>
      <c r="D13" s="102">
        <v>49067</v>
      </c>
      <c r="E13" s="102">
        <v>1189880.246380077</v>
      </c>
      <c r="F13" s="103">
        <f>(B13*1.38)+171722</f>
        <v>1442981.5328899273</v>
      </c>
      <c r="G13" s="104">
        <f t="shared" si="1"/>
        <v>370775.20711457887</v>
      </c>
      <c r="H13" s="105">
        <v>72400</v>
      </c>
      <c r="I13" s="106">
        <f t="shared" si="2"/>
        <v>1886156.7400045062</v>
      </c>
    </row>
    <row r="14" spans="1:9" ht="21" x14ac:dyDescent="0.6">
      <c r="A14" s="101">
        <v>13</v>
      </c>
      <c r="B14" s="102">
        <v>925905.64838856959</v>
      </c>
      <c r="C14" s="102">
        <v>224345.4090231352</v>
      </c>
      <c r="D14" s="102">
        <v>49467</v>
      </c>
      <c r="E14" s="102">
        <v>1199718.0574117047</v>
      </c>
      <c r="F14" s="103">
        <f t="shared" si="0"/>
        <v>1449471.7947762259</v>
      </c>
      <c r="G14" s="104">
        <f t="shared" si="1"/>
        <v>377861.12445192656</v>
      </c>
      <c r="H14" s="105">
        <v>72800</v>
      </c>
      <c r="I14" s="106">
        <f t="shared" si="2"/>
        <v>1900132.9192281524</v>
      </c>
    </row>
    <row r="15" spans="1:9" ht="21" x14ac:dyDescent="0.6">
      <c r="A15" s="101">
        <v>14</v>
      </c>
      <c r="B15" s="102">
        <v>932165.63508506888</v>
      </c>
      <c r="C15" s="102">
        <v>229080.13173135821</v>
      </c>
      <c r="D15" s="102">
        <v>49867</v>
      </c>
      <c r="E15" s="102">
        <v>1211112.766816427</v>
      </c>
      <c r="F15" s="103">
        <f t="shared" si="0"/>
        <v>1458110.5764173949</v>
      </c>
      <c r="G15" s="104">
        <f t="shared" si="1"/>
        <v>384947.04178927431</v>
      </c>
      <c r="H15" s="105">
        <v>73200</v>
      </c>
      <c r="I15" s="106">
        <f t="shared" si="2"/>
        <v>1916257.6182066691</v>
      </c>
    </row>
    <row r="16" spans="1:9" ht="21" x14ac:dyDescent="0.6">
      <c r="A16" s="101">
        <v>15</v>
      </c>
      <c r="B16" s="102">
        <v>938425.62178156793</v>
      </c>
      <c r="C16" s="102">
        <v>233814.85443958113</v>
      </c>
      <c r="D16" s="102">
        <v>50267</v>
      </c>
      <c r="E16" s="102">
        <v>1222507.4762211491</v>
      </c>
      <c r="F16" s="103">
        <f t="shared" si="0"/>
        <v>1466749.3580585637</v>
      </c>
      <c r="G16" s="104">
        <f t="shared" si="1"/>
        <v>392032.95912662195</v>
      </c>
      <c r="H16" s="105">
        <v>73600</v>
      </c>
      <c r="I16" s="106">
        <f t="shared" si="2"/>
        <v>1932382.3171851856</v>
      </c>
    </row>
    <row r="17" spans="1:9" ht="21" x14ac:dyDescent="0.6">
      <c r="A17" s="101">
        <v>16</v>
      </c>
      <c r="B17" s="102">
        <v>944713.95253167348</v>
      </c>
      <c r="C17" s="102">
        <v>238549.57714780414</v>
      </c>
      <c r="D17" s="102">
        <v>50667</v>
      </c>
      <c r="E17" s="102">
        <v>1233930.5296794777</v>
      </c>
      <c r="F17" s="103">
        <f t="shared" si="0"/>
        <v>1475427.2544937092</v>
      </c>
      <c r="G17" s="104">
        <f t="shared" si="1"/>
        <v>399118.8764639697</v>
      </c>
      <c r="H17" s="105">
        <v>74000</v>
      </c>
      <c r="I17" s="106">
        <f t="shared" si="2"/>
        <v>1948546.1309576789</v>
      </c>
    </row>
    <row r="18" spans="1:9" ht="21" x14ac:dyDescent="0.6">
      <c r="A18" s="101">
        <v>17</v>
      </c>
      <c r="B18" s="102">
        <v>952534.88675178238</v>
      </c>
      <c r="C18" s="102">
        <v>243284.29985602712</v>
      </c>
      <c r="D18" s="102">
        <v>51067</v>
      </c>
      <c r="E18" s="102">
        <v>1246886.1866078095</v>
      </c>
      <c r="F18" s="103">
        <f t="shared" si="0"/>
        <v>1486220.1437174596</v>
      </c>
      <c r="G18" s="104">
        <f t="shared" si="1"/>
        <v>406204.7938013174</v>
      </c>
      <c r="H18" s="105">
        <v>74400</v>
      </c>
      <c r="I18" s="106">
        <f t="shared" si="2"/>
        <v>1966824.9375187771</v>
      </c>
    </row>
    <row r="19" spans="1:9" ht="21" x14ac:dyDescent="0.6">
      <c r="A19" s="101">
        <v>18</v>
      </c>
      <c r="B19" s="102">
        <v>960374.04214920953</v>
      </c>
      <c r="C19" s="102">
        <v>248019.02256425007</v>
      </c>
      <c r="D19" s="102">
        <v>51467</v>
      </c>
      <c r="E19" s="102">
        <v>1259860.0647134597</v>
      </c>
      <c r="F19" s="103">
        <f t="shared" si="0"/>
        <v>1497038.1781659091</v>
      </c>
      <c r="G19" s="104">
        <f t="shared" si="1"/>
        <v>413290.71113866504</v>
      </c>
      <c r="H19" s="105">
        <v>74800</v>
      </c>
      <c r="I19" s="106">
        <f t="shared" si="2"/>
        <v>1985128.8893045741</v>
      </c>
    </row>
    <row r="20" spans="1:9" ht="21" x14ac:dyDescent="0.6">
      <c r="A20" s="101">
        <v>19</v>
      </c>
      <c r="B20" s="102">
        <v>969770.09591973131</v>
      </c>
      <c r="C20" s="102">
        <v>252753.74527247308</v>
      </c>
      <c r="D20" s="102">
        <v>51867</v>
      </c>
      <c r="E20" s="102">
        <v>1274390.8411922045</v>
      </c>
      <c r="F20" s="103">
        <f t="shared" si="0"/>
        <v>1510004.7323692292</v>
      </c>
      <c r="G20" s="104">
        <f t="shared" si="1"/>
        <v>420376.62847601285</v>
      </c>
      <c r="H20" s="105">
        <v>75200</v>
      </c>
      <c r="I20" s="106">
        <f t="shared" si="2"/>
        <v>2005581.3608452422</v>
      </c>
    </row>
    <row r="21" spans="1:9" ht="21" x14ac:dyDescent="0.6">
      <c r="A21" s="101">
        <v>20</v>
      </c>
      <c r="B21" s="102">
        <v>979174.24799128307</v>
      </c>
      <c r="C21" s="102">
        <v>257488.46798069606</v>
      </c>
      <c r="D21" s="102">
        <v>52267</v>
      </c>
      <c r="E21" s="102">
        <v>1288929.7159719791</v>
      </c>
      <c r="F21" s="103">
        <f t="shared" si="0"/>
        <v>1522982.4622279706</v>
      </c>
      <c r="G21" s="104">
        <f t="shared" si="1"/>
        <v>427462.54581336054</v>
      </c>
      <c r="H21" s="105">
        <v>75600</v>
      </c>
      <c r="I21" s="106">
        <f t="shared" si="2"/>
        <v>2026045.0080413311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</vt:lpstr>
      <vt:lpstr>tasisat1401end</vt:lpstr>
      <vt:lpstr>آنالیز ابتدای سال 1400</vt:lpstr>
      <vt:lpstr>مزدگروه های 20گانه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tasisat</dc:creator>
  <cp:lastModifiedBy>آمنه تسلیمی</cp:lastModifiedBy>
  <cp:lastPrinted>2022-06-25T12:15:24Z</cp:lastPrinted>
  <dcterms:created xsi:type="dcterms:W3CDTF">2020-06-06T17:15:33Z</dcterms:created>
  <dcterms:modified xsi:type="dcterms:W3CDTF">2023-01-23T05:47:26Z</dcterms:modified>
</cp:coreProperties>
</file>